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1880" windowHeight="4370" firstSheet="3" activeTab="4"/>
  </bookViews>
  <sheets>
    <sheet name="Reporting Q4 2016" sheetId="1" r:id="rId1"/>
    <sheet name="Expenditure break down Q4 2016" sheetId="2" r:id="rId2"/>
    <sheet name="Bank reconciliation 30 Dec " sheetId="3" r:id="rId3"/>
    <sheet name="VAT Received Q4" sheetId="4" r:id="rId4"/>
    <sheet name="Workplan budget Q1 - 2017" sheetId="5" r:id="rId5"/>
    <sheet name="Sheet1" sheetId="6" r:id="rId6"/>
    <sheet name="Working Notes" sheetId="7" r:id="rId7"/>
  </sheets>
  <definedNames/>
  <calcPr fullCalcOnLoad="1"/>
</workbook>
</file>

<file path=xl/sharedStrings.xml><?xml version="1.0" encoding="utf-8"?>
<sst xmlns="http://schemas.openxmlformats.org/spreadsheetml/2006/main" count="505" uniqueCount="355">
  <si>
    <t>UN Agency:</t>
  </si>
  <si>
    <t>UNDP</t>
  </si>
  <si>
    <t>Country:</t>
  </si>
  <si>
    <t>NAMIBIA</t>
  </si>
  <si>
    <t>Type of Request:</t>
  </si>
  <si>
    <t>Programme:</t>
  </si>
  <si>
    <r>
      <t xml:space="preserve">□x  </t>
    </r>
    <r>
      <rPr>
        <sz val="10"/>
        <rFont val="Arial Narrow"/>
        <family val="2"/>
      </rPr>
      <t>Direct Cash Transfer (DCT)</t>
    </r>
  </si>
  <si>
    <t>Project Id &amp; Title:</t>
  </si>
  <si>
    <r>
      <t xml:space="preserve">□    </t>
    </r>
    <r>
      <rPr>
        <sz val="10"/>
        <rFont val="Arial Narrow"/>
        <family val="2"/>
      </rPr>
      <t>Direct Payment</t>
    </r>
  </si>
  <si>
    <t>Responsible Officer (NPD):</t>
  </si>
  <si>
    <t>Implementing Partner:</t>
  </si>
  <si>
    <t>Ministry of Environment and Tourism</t>
  </si>
  <si>
    <r>
      <t xml:space="preserve">Currency: </t>
    </r>
    <r>
      <rPr>
        <u val="single"/>
        <sz val="10"/>
        <rFont val="Arial Narrow"/>
        <family val="2"/>
      </rPr>
      <t>Namibian Dollars (NAD)</t>
    </r>
  </si>
  <si>
    <t>REPORTING</t>
  </si>
  <si>
    <t>REQUESTS /  AUTHORIZATIONS</t>
  </si>
  <si>
    <t>ATLAS Charts of Account (COA)</t>
  </si>
  <si>
    <t>Authorised Amount</t>
  </si>
  <si>
    <t>Actual Project Expenditure</t>
  </si>
  <si>
    <t>Expenditures accepted by Agency</t>
  </si>
  <si>
    <t>Balance</t>
  </si>
  <si>
    <t>Unspend Balance Returned</t>
  </si>
  <si>
    <t>New Request Period &amp; Amount</t>
  </si>
  <si>
    <t>Outstanding Authorised Amount</t>
  </si>
  <si>
    <t>Fund Code</t>
  </si>
  <si>
    <t>Donor Code</t>
  </si>
  <si>
    <t>Budget Account</t>
  </si>
  <si>
    <t>A</t>
  </si>
  <si>
    <t>B</t>
  </si>
  <si>
    <t>C</t>
  </si>
  <si>
    <t>D = A - C</t>
  </si>
  <si>
    <t>(-D)</t>
  </si>
  <si>
    <t>E</t>
  </si>
  <si>
    <t>F = (E)</t>
  </si>
  <si>
    <t xml:space="preserve">G </t>
  </si>
  <si>
    <t>Local Consultants</t>
  </si>
  <si>
    <t>71300</t>
  </si>
  <si>
    <t>Travel</t>
  </si>
  <si>
    <t>71600</t>
  </si>
  <si>
    <t>72100</t>
  </si>
  <si>
    <t>72200</t>
  </si>
  <si>
    <t>72400</t>
  </si>
  <si>
    <t>74500</t>
  </si>
  <si>
    <t>Subtotal</t>
  </si>
  <si>
    <t>Supplies</t>
  </si>
  <si>
    <t>72500</t>
  </si>
  <si>
    <t>73400</t>
  </si>
  <si>
    <t>Total</t>
  </si>
  <si>
    <t>CERTIFICATION</t>
  </si>
  <si>
    <t>The undersigned authorized officer of the above-mentioned implementing institution hereby certifies that:</t>
  </si>
  <si>
    <t>□</t>
  </si>
  <si>
    <t>The funding request shown above represents estimated expenditures as per AWP and itemized cost estimates attached.</t>
  </si>
  <si>
    <t>□x</t>
  </si>
  <si>
    <t>The actual expenditures for the period stated herein has been disbursed in accordance with the AWP and request with itemized cost estimates. The detailed accounting documents for these expenditures can be made available for examination, when required, for the period of five years from the date of the provision of funds.</t>
  </si>
  <si>
    <t>Date Submitted:</t>
  </si>
  <si>
    <r>
      <t xml:space="preserve">Name: </t>
    </r>
    <r>
      <rPr>
        <sz val="10"/>
        <color indexed="10"/>
        <rFont val="Arial Narrow"/>
        <family val="2"/>
      </rPr>
      <t>&amp; Signature</t>
    </r>
  </si>
  <si>
    <t>Title:</t>
  </si>
  <si>
    <t>Permanent Secretary</t>
  </si>
  <si>
    <t xml:space="preserve"> </t>
  </si>
  <si>
    <t>NOTES:</t>
  </si>
  <si>
    <t>*</t>
  </si>
  <si>
    <t>Shaded areas to be completed by the UN Agency and non-shaded areas to be completed by the counterpart.</t>
  </si>
  <si>
    <t>FOR AGENCY USE ONLY:</t>
  </si>
  <si>
    <t>FOR ALL AGENCIES</t>
  </si>
  <si>
    <t>FOR UNDP USE</t>
  </si>
  <si>
    <t>Approved by:</t>
  </si>
  <si>
    <t>Payee Details  (Name and Bank Account)</t>
  </si>
  <si>
    <t xml:space="preserve">Implementing Agent code </t>
  </si>
  <si>
    <t>Department ID</t>
  </si>
  <si>
    <t xml:space="preserve">  Name:</t>
  </si>
  <si>
    <t xml:space="preserve">  Title:</t>
  </si>
  <si>
    <t>Signature:</t>
  </si>
  <si>
    <t xml:space="preserve">  Date:</t>
  </si>
  <si>
    <t>71400</t>
  </si>
  <si>
    <t>75700</t>
  </si>
  <si>
    <t>Contractual Services-Individ</t>
  </si>
  <si>
    <t>Type of Account: Business Current account</t>
  </si>
  <si>
    <t>000941</t>
  </si>
  <si>
    <t>N/A</t>
  </si>
  <si>
    <t>36005</t>
  </si>
  <si>
    <t>36001</t>
  </si>
  <si>
    <t>74100</t>
  </si>
  <si>
    <t>Activity 1</t>
  </si>
  <si>
    <t>Activity 2</t>
  </si>
  <si>
    <t>Activity 3</t>
  </si>
  <si>
    <t>TOTAL EXPENDITURE</t>
  </si>
  <si>
    <t>Professional Services</t>
  </si>
  <si>
    <t>Budget</t>
  </si>
  <si>
    <t xml:space="preserve">Sub total </t>
  </si>
  <si>
    <t>Sub total</t>
  </si>
  <si>
    <t xml:space="preserve">Vat  received </t>
  </si>
  <si>
    <t xml:space="preserve">Mr. Teofilus Nghitila </t>
  </si>
  <si>
    <t>Opening Advance Received</t>
  </si>
  <si>
    <t>Less: Payments expenses cleared</t>
  </si>
  <si>
    <t>Closing Cash Balance ( to be refunded back to UNDP)</t>
  </si>
  <si>
    <t>VAT REFUND</t>
  </si>
  <si>
    <t>Branch Number: '082372</t>
  </si>
  <si>
    <t>M . Lindeque</t>
  </si>
  <si>
    <t>Ms Izumi Morota-Alakija</t>
  </si>
  <si>
    <t xml:space="preserve">Deputy Resident Representative </t>
  </si>
  <si>
    <t>Total VAT received 2016</t>
  </si>
  <si>
    <t>SCORE PROJECT Expenditure  Breakdown (N$)</t>
  </si>
  <si>
    <t xml:space="preserve">ATLAS Activity &amp; Corresponding Activity Description from AWP &amp; purpose of payment </t>
  </si>
  <si>
    <t>Activity (1): Strengthening smallholder adaptive capacity for climate resilient agricultural production practices</t>
  </si>
  <si>
    <t>Materials &amp; Goods</t>
  </si>
  <si>
    <t>72300</t>
  </si>
  <si>
    <t>Contractual Services-Imp Partn</t>
  </si>
  <si>
    <t>71800</t>
  </si>
  <si>
    <t>Contractual Services - Individuals</t>
  </si>
  <si>
    <t>Communication and Audio Visual Equipment</t>
  </si>
  <si>
    <t xml:space="preserve">Maintainance, Operations and Transport Equipment </t>
  </si>
  <si>
    <t>Activity (2):  Reducing vulnerability to droughts and floods through the restoration of wells and enhancement of floodwater pools for food security</t>
  </si>
  <si>
    <t>Training, Workshop and Confer</t>
  </si>
  <si>
    <t>Materials and Goods</t>
  </si>
  <si>
    <t>Contractual Services - Companies</t>
  </si>
  <si>
    <t>Activity (3):  Mainstreaming climate change into national agricultural strategy / sector policy, including adjustments to budget for replication and upscaling</t>
  </si>
  <si>
    <t>04000</t>
  </si>
  <si>
    <t>Miscelleneous Expenses</t>
  </si>
  <si>
    <t>Training, Workshops and Conference</t>
  </si>
  <si>
    <t>VAT</t>
  </si>
  <si>
    <t>Name: SCORE project</t>
  </si>
  <si>
    <t>Bank Name &amp; Account: Standard Bank 24 173 695 1</t>
  </si>
  <si>
    <t>Tel. 061 284 2709 / 061 248 2405</t>
  </si>
  <si>
    <t>SCORE Project</t>
  </si>
  <si>
    <t xml:space="preserve">00091803 Scaling up Community Resilient to Climate Variability and Climate Change in Northern Namibia (SCORE) </t>
  </si>
  <si>
    <t>Email: Kambonde.Elizabeth@met.gov.na@met.gov.na / Uazamo.Kaura@met.gov.na</t>
  </si>
  <si>
    <t>Activity</t>
  </si>
  <si>
    <t xml:space="preserve">Amount </t>
  </si>
  <si>
    <t>TOTAL</t>
  </si>
  <si>
    <t>Budget code</t>
  </si>
  <si>
    <t xml:space="preserve">Salaries </t>
  </si>
  <si>
    <t>Salaries</t>
  </si>
  <si>
    <t>Shoolela iTracker</t>
  </si>
  <si>
    <t>TN Mobile</t>
  </si>
  <si>
    <t>SUPPLIER</t>
  </si>
  <si>
    <t>MTC</t>
  </si>
  <si>
    <t>Telecom Namibia</t>
  </si>
  <si>
    <t>Less: Unpresented cheques           (payment not cleared)</t>
  </si>
  <si>
    <t>SUBTOTAL</t>
  </si>
  <si>
    <t xml:space="preserve">UN Operational Exchange Rate </t>
  </si>
  <si>
    <t>USD</t>
  </si>
  <si>
    <t>Local Consultants: Ndemuweda Investments (Mentorship Programmes)</t>
  </si>
  <si>
    <t>Less: Cleared after 30 June 2016</t>
  </si>
  <si>
    <t>MTC, TN Mobile</t>
  </si>
  <si>
    <t>VAT TOTAL</t>
  </si>
  <si>
    <t>Local Consultants (04000)</t>
  </si>
  <si>
    <t xml:space="preserve">Shoolela Investment Holdings (Pty) Ltd </t>
  </si>
  <si>
    <t>Bank Charges</t>
  </si>
  <si>
    <t>Journal</t>
  </si>
  <si>
    <t>Panduleni Hamukwaya</t>
  </si>
  <si>
    <t xml:space="preserve">Travel:  </t>
  </si>
  <si>
    <t>Bank Reconciliation SCORE PROJECT - Quarter 4 (July - September 2016)</t>
  </si>
  <si>
    <t>Closing Balance as per bank statement at 30 September 2016</t>
  </si>
  <si>
    <t>Betty Schroder</t>
  </si>
  <si>
    <t>Journal (04000)</t>
  </si>
  <si>
    <t>TrenTyre</t>
  </si>
  <si>
    <t>Less VAT Received Included</t>
  </si>
  <si>
    <t>Shihengeenge Investment cc</t>
  </si>
  <si>
    <t>Equipment &amp; Furniture</t>
  </si>
  <si>
    <t>Miscellaneous Expenses</t>
  </si>
  <si>
    <t>Consultants: Micro-drip irrigation systems - northern and north central regions &amp; Earthdams Excavation and wells Restoration</t>
  </si>
  <si>
    <t>Fuel, Fleet Maintenance</t>
  </si>
  <si>
    <t xml:space="preserve">Travel: Team Planning Meeting </t>
  </si>
  <si>
    <t>Oshandira Lodge</t>
  </si>
  <si>
    <t>Talvi-Seppo (DSA)</t>
  </si>
  <si>
    <t>UK (M&amp;E  Training participants DSA)</t>
  </si>
  <si>
    <t>Fiina Ndakola (DSA-M&amp;E Training)</t>
  </si>
  <si>
    <t>Mariandekua Muzuma (DSA-M&amp;E Training)</t>
  </si>
  <si>
    <t>Eugene Simwanza (DSA-M&amp;E Training)</t>
  </si>
  <si>
    <t>Oct</t>
  </si>
  <si>
    <t>Nov</t>
  </si>
  <si>
    <t>Dec</t>
  </si>
  <si>
    <t>October - December 2016 Expenditure</t>
  </si>
  <si>
    <t>Oct - Dec 2016</t>
  </si>
  <si>
    <t>Jan - Mar 2017</t>
  </si>
  <si>
    <t>The Fress of Namibia</t>
  </si>
  <si>
    <t xml:space="preserve"> Ndejapo E Kambonde (DSA)   </t>
  </si>
  <si>
    <t>Angelina Mateus (DSA)</t>
  </si>
  <si>
    <t xml:space="preserve">Pastec Distribution &amp; Training cc </t>
  </si>
  <si>
    <t>Trip travel</t>
  </si>
  <si>
    <t>Anna Namupaasita Shivute (DSA-M&amp;E Training)</t>
  </si>
  <si>
    <t>The Sign shop</t>
  </si>
  <si>
    <t xml:space="preserve">Ndejapo E Kambonde (Fuel Reimbursement) </t>
  </si>
  <si>
    <t>Mirjam Kaholongo (Spare tyre Reimbursement)</t>
  </si>
  <si>
    <t>Sagetech Consulting cc</t>
  </si>
  <si>
    <t>Omashare Hotel</t>
  </si>
  <si>
    <t>Masson Haggai Iipinge (Casual)</t>
  </si>
  <si>
    <t xml:space="preserve">Shimanda Paulus(Casual) </t>
  </si>
  <si>
    <t>Shiwashange Trading cc</t>
  </si>
  <si>
    <t>Oshali Community Garden Project</t>
  </si>
  <si>
    <t>Eenhana Restaurant</t>
  </si>
  <si>
    <t>Greenfields</t>
  </si>
  <si>
    <t>Abiater Amateta (DSA)</t>
  </si>
  <si>
    <t>Armstromg Simataa(DSA)</t>
  </si>
  <si>
    <t>Aron Hangula (DSA)</t>
  </si>
  <si>
    <t>Ruusa Ithete(DSA)</t>
  </si>
  <si>
    <t>Uazamo Kaura(DSA)</t>
  </si>
  <si>
    <t>Elizabeth Kambonde (DSA)</t>
  </si>
  <si>
    <t>Panduleni  Hamukwaya(DSA)</t>
  </si>
  <si>
    <t xml:space="preserve">Mirjam Kaholongo(DSA) </t>
  </si>
  <si>
    <t>Simon Haidula(DSA)</t>
  </si>
  <si>
    <t>Talvi-Seppo Ndevaetela(DSA)</t>
  </si>
  <si>
    <t xml:space="preserve">One Stone Investment </t>
  </si>
  <si>
    <t>PC Centre (Pty) Ltd</t>
  </si>
  <si>
    <t>Incredible Connection</t>
  </si>
  <si>
    <t>Uazamo Kaura(Fuel Reimbursement)</t>
  </si>
  <si>
    <t>MPR Investment cc</t>
  </si>
  <si>
    <t xml:space="preserve">Ndejapo E Kambonde (DSA PSC Members) </t>
  </si>
  <si>
    <t>Angelina Mateus (Petty Cash)</t>
  </si>
  <si>
    <t>Moses Petrus</t>
  </si>
  <si>
    <t xml:space="preserve">Petrus Muteyauli (DSA &amp; km Claim </t>
  </si>
  <si>
    <t xml:space="preserve">Emily Handunge(Km claim)  </t>
  </si>
  <si>
    <t>Enny Namalambo(Km claim)</t>
  </si>
  <si>
    <t>Teofilus Nghitila (DSA to Mexico)</t>
  </si>
  <si>
    <t>Gerhard A wala (DSA)</t>
  </si>
  <si>
    <t>Toppy's Workshop</t>
  </si>
  <si>
    <t>Tenth Investments cc</t>
  </si>
  <si>
    <t>Iimalwa Festus (DSA)</t>
  </si>
  <si>
    <t>Ministry of fisheries and Marine Resources</t>
  </si>
  <si>
    <t>Omfiki Trading cc</t>
  </si>
  <si>
    <t>AMTA - Tractor drivers allowances</t>
  </si>
  <si>
    <t>ELWIWA cc</t>
  </si>
  <si>
    <t>Aron Hangula (Reimbursement for Fuel filters )</t>
  </si>
  <si>
    <t>Topaz Transport cc</t>
  </si>
  <si>
    <t>Afromach Investments cc (M&amp; E Plan)</t>
  </si>
  <si>
    <t xml:space="preserve">Oshali Community Garden </t>
  </si>
  <si>
    <t>JDE Agri  Implements cc</t>
  </si>
  <si>
    <t>Fuel 16.10.2016 - 15.11.2016</t>
  </si>
  <si>
    <t>Fuel 16.11.2016 - 15.12.2016</t>
  </si>
  <si>
    <t>Bank Charges &amp; Service Fees (DEC)</t>
  </si>
  <si>
    <t>Salaries (Bonuses)</t>
  </si>
  <si>
    <t>Betty Schroder (Bonus)</t>
  </si>
  <si>
    <t>MPR Investments cc</t>
  </si>
  <si>
    <t>Titus Kambahepa (Casuals Allowances - Opuwo)</t>
  </si>
  <si>
    <t>Roman Catholic Mission(Well rings)</t>
  </si>
  <si>
    <t>Baufis Agri Implements Services cc</t>
  </si>
  <si>
    <t>Activity 5</t>
  </si>
  <si>
    <t>Receipts</t>
  </si>
  <si>
    <t>Payments</t>
  </si>
  <si>
    <t>UNDP Replenishment</t>
  </si>
  <si>
    <t>Refund: Abiater</t>
  </si>
  <si>
    <t>Refund: Fuel refund (PSC Meeting)</t>
  </si>
  <si>
    <t>Refund: DSA PSC Meeting</t>
  </si>
  <si>
    <t>Refund: DSA Kunene trip MK</t>
  </si>
  <si>
    <t>Refund: Air Ticket</t>
  </si>
  <si>
    <t>Refund: Casuals - Kunene</t>
  </si>
  <si>
    <t>Refund: Miscellaneous</t>
  </si>
  <si>
    <t>Refund: Omashare PSC Venue</t>
  </si>
  <si>
    <t>Shoolela Investments</t>
  </si>
  <si>
    <t>Salaries: December  2016</t>
  </si>
  <si>
    <t>Fleet: 16.12 - 15.01</t>
  </si>
  <si>
    <t>Fleet: 16.01 - 15.02</t>
  </si>
  <si>
    <t>R C M Oshikuku</t>
  </si>
  <si>
    <t>Titus Kambahepa</t>
  </si>
  <si>
    <t>Boas Naanda</t>
  </si>
  <si>
    <t>Tenth Investment</t>
  </si>
  <si>
    <t>Baufis Agricultural tools</t>
  </si>
  <si>
    <t>Afromach</t>
  </si>
  <si>
    <t>Imalwa Festus</t>
  </si>
  <si>
    <t>Gebhard Awala</t>
  </si>
  <si>
    <t>Ministry of Fisheries</t>
  </si>
  <si>
    <t>Elwiwa</t>
  </si>
  <si>
    <t>Abiater Amateta</t>
  </si>
  <si>
    <t>Sagetech</t>
  </si>
  <si>
    <t>AMTA</t>
  </si>
  <si>
    <t>Tenth Invstment</t>
  </si>
  <si>
    <t>UK</t>
  </si>
  <si>
    <t>Chq68</t>
  </si>
  <si>
    <t>NK</t>
  </si>
  <si>
    <t>Oshali Community Garden</t>
  </si>
  <si>
    <t>JDE</t>
  </si>
  <si>
    <t>Aron</t>
  </si>
  <si>
    <t>Shoolela</t>
  </si>
  <si>
    <t>Refund: MoF VAT</t>
  </si>
  <si>
    <t>Chq66</t>
  </si>
  <si>
    <t>December bonuses</t>
  </si>
  <si>
    <t>SH</t>
  </si>
  <si>
    <t>AH</t>
  </si>
  <si>
    <t>Sign Shop</t>
  </si>
  <si>
    <t>PC Centre</t>
  </si>
  <si>
    <t>AS</t>
  </si>
  <si>
    <t>RI</t>
  </si>
  <si>
    <t>MK</t>
  </si>
  <si>
    <t>Shihengeenge Investment</t>
  </si>
  <si>
    <t>PH</t>
  </si>
  <si>
    <t>One Stone</t>
  </si>
  <si>
    <t>AA</t>
  </si>
  <si>
    <t>NHL Tyre</t>
  </si>
  <si>
    <t>VAT refund</t>
  </si>
  <si>
    <t>Anna</t>
  </si>
  <si>
    <t>Fiina</t>
  </si>
  <si>
    <t>Eugene</t>
  </si>
  <si>
    <t>Pastec</t>
  </si>
  <si>
    <t>AM</t>
  </si>
  <si>
    <t>TS</t>
  </si>
  <si>
    <t>Feel</t>
  </si>
  <si>
    <t>The Free Press</t>
  </si>
  <si>
    <t>Trip Travel</t>
  </si>
  <si>
    <t>Bank charges</t>
  </si>
  <si>
    <t>Salaries: Nov</t>
  </si>
  <si>
    <t>MM: DSA</t>
  </si>
  <si>
    <t>Salaries Oct</t>
  </si>
  <si>
    <t>Telecom: Dec</t>
  </si>
  <si>
    <t>MTC: Dec</t>
  </si>
  <si>
    <t>Shoolela: Dec</t>
  </si>
  <si>
    <t>Teo DSA Mexico</t>
  </si>
  <si>
    <t>NK Fuel reimbusement</t>
  </si>
  <si>
    <t xml:space="preserve">Activity (5):  </t>
  </si>
  <si>
    <t>Contractual Services</t>
  </si>
  <si>
    <t>2016100012/17</t>
  </si>
  <si>
    <t>Mirjam Kaholongo</t>
  </si>
  <si>
    <t>Simon Petrus DSA</t>
  </si>
  <si>
    <t>Omashare</t>
  </si>
  <si>
    <t>Petrus Moses: DSA Ondangwa</t>
  </si>
  <si>
    <t>Bank Reconciliation SCORE PROJECT - Quarter 4 (Oct - Dec 2016 )</t>
  </si>
  <si>
    <t>Closing Balance as per bank statement at 31 Dec 2016</t>
  </si>
  <si>
    <t>re Adjusted balance after VAT 31 Dec 2016</t>
  </si>
  <si>
    <t>Less: Cleared after 31 Dec 2016</t>
  </si>
  <si>
    <t>P.Hamukwaya (Refreshment Reimbursement</t>
  </si>
  <si>
    <t>A. Amateta (Reimbursement for Field work tools)</t>
  </si>
  <si>
    <t>N E  Kambonde (Reimbursement for Pocket WiFi)</t>
  </si>
  <si>
    <t>U Kaura (R: Name Badge &amp; Plastics for seeds)</t>
  </si>
  <si>
    <t>UK (DSA M &amp; E training Ondangwa)</t>
  </si>
  <si>
    <t>Talvi (DSA Ondangwa)</t>
  </si>
  <si>
    <t>SageTech</t>
  </si>
  <si>
    <t>Simon Hanuseb</t>
  </si>
  <si>
    <t>M Kahlongo</t>
  </si>
  <si>
    <t>P Hamukwaya</t>
  </si>
  <si>
    <t>Shiwashange</t>
  </si>
  <si>
    <t>M Iipinge</t>
  </si>
  <si>
    <t>s Paulus</t>
  </si>
  <si>
    <t>Rundu: Miscellaneous</t>
  </si>
  <si>
    <t>Petrus: Fuel to Rundu</t>
  </si>
  <si>
    <t>Emilly</t>
  </si>
  <si>
    <t>Petrus Muteyauli</t>
  </si>
  <si>
    <t>Refund: Petrus Moses</t>
  </si>
  <si>
    <t>Festus Tsuseb</t>
  </si>
  <si>
    <t xml:space="preserve">                                                                                                      </t>
  </si>
  <si>
    <t xml:space="preserve">                                   </t>
  </si>
  <si>
    <t>VAT Received Reconciliation SCORE Project as at 31 December 2016</t>
  </si>
  <si>
    <t>Act 5</t>
  </si>
  <si>
    <t>Act 3</t>
  </si>
  <si>
    <t>Vehicle Monitoring system, Maintenance and Operation of Fleet</t>
  </si>
  <si>
    <t>Contractual Services: Companies - National Seed Policy; Desktop Study Report on Early Warning Systems / Seeds and Fertilizers</t>
  </si>
  <si>
    <t>Contractual Services-Imp Partn - Support Climate Smart Fish Farms / awareness creating on aquaculture and supporting training for community members</t>
  </si>
  <si>
    <t>Contractual Services - Companies: Excavation of (2) earthdams;  (3) catchment ponds; (12) Traditional wells and fencing of earthdams</t>
  </si>
  <si>
    <t>Local Consultant - Baseline Study / Unam (Impact Assessement Study / NNFU contract / promotion of scaling up climate smart agricultural methods</t>
  </si>
  <si>
    <t>International Consultant - Mid term Review</t>
  </si>
  <si>
    <t>Travel (DSA: PSC Meeting; Staff)</t>
  </si>
  <si>
    <t>Training on local level monitoring; PSC Meeting</t>
  </si>
  <si>
    <t>Communication charges: MTC; TN Mobile</t>
  </si>
  <si>
    <t>Contractual Services-Imp Partn - support MAWF in Conservative Agriculture / Fertilizers / Sunflower production / Seeds [Legumious]</t>
  </si>
  <si>
    <t>Training on soil improvement techniques and drip irrigation system beneficiaries on good agricultural practices (GAP) - venture into marketing of local products</t>
  </si>
  <si>
    <t>Contractual Services: Companiees</t>
  </si>
  <si>
    <t>Training / Conferences</t>
  </si>
  <si>
    <t>Budget Plan for Q1 YEAR 2017 (January - March 2017)</t>
  </si>
</sst>
</file>

<file path=xl/styles.xml><?xml version="1.0" encoding="utf-8"?>
<styleSheet xmlns="http://schemas.openxmlformats.org/spreadsheetml/2006/main">
  <numFmts count="55">
    <numFmt numFmtId="5" formatCode="&quot;N$&quot;\ #,##0;&quot;N$&quot;\ \-#,##0"/>
    <numFmt numFmtId="6" formatCode="&quot;N$&quot;\ #,##0;[Red]&quot;N$&quot;\ \-#,##0"/>
    <numFmt numFmtId="7" formatCode="&quot;N$&quot;\ #,##0.00;&quot;N$&quot;\ \-#,##0.00"/>
    <numFmt numFmtId="8" formatCode="&quot;N$&quot;\ #,##0.00;[Red]&quot;N$&quot;\ \-#,##0.00"/>
    <numFmt numFmtId="42" formatCode="_ &quot;N$&quot;\ * #,##0_ ;_ &quot;N$&quot;\ * \-#,##0_ ;_ &quot;N$&quot;\ * &quot;-&quot;_ ;_ @_ "/>
    <numFmt numFmtId="41" formatCode="_ * #,##0_ ;_ * \-#,##0_ ;_ * &quot;-&quot;_ ;_ @_ "/>
    <numFmt numFmtId="44" formatCode="_ &quot;N$&quot;\ * #,##0.00_ ;_ &quot;N$&quot;\ * \-#,##0.00_ ;_ &quot;N$&quot;\ * &quot;-&quot;??_ ;_ @_ "/>
    <numFmt numFmtId="43" formatCode="_ * #,##0.00_ ;_ * \-#,##0.00_ ;_ * &quot;-&quot;??_ ;_ @_ "/>
    <numFmt numFmtId="164" formatCode="&quot;N$&quot;#,##0;\-&quot;N$&quot;#,##0"/>
    <numFmt numFmtId="165" formatCode="&quot;N$&quot;#,##0;[Red]\-&quot;N$&quot;#,##0"/>
    <numFmt numFmtId="166" formatCode="&quot;N$&quot;#,##0.00;\-&quot;N$&quot;#,##0.00"/>
    <numFmt numFmtId="167" formatCode="&quot;N$&quot;#,##0.00;[Red]\-&quot;N$&quot;#,##0.00"/>
    <numFmt numFmtId="168" formatCode="_-&quot;N$&quot;* #,##0_-;\-&quot;N$&quot;* #,##0_-;_-&quot;N$&quot;* &quot;-&quot;_-;_-@_-"/>
    <numFmt numFmtId="169" formatCode="_-* #,##0_-;\-* #,##0_-;_-* &quot;-&quot;_-;_-@_-"/>
    <numFmt numFmtId="170" formatCode="_-&quot;N$&quot;* #,##0.00_-;\-&quot;N$&quot;* #,##0.00_-;_-&quot;N$&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 #,##0;&quot;R&quot;\ \-#,##0"/>
    <numFmt numFmtId="181" formatCode="&quot;R&quot;\ #,##0;[Red]&quot;R&quot;\ \-#,##0"/>
    <numFmt numFmtId="182" formatCode="&quot;R&quot;\ #,##0.00;&quot;R&quot;\ \-#,##0.00"/>
    <numFmt numFmtId="183" formatCode="&quot;R&quot;\ #,##0.00;[Red]&quot;R&quot;\ \-#,##0.00"/>
    <numFmt numFmtId="184" formatCode="_ &quot;R&quot;\ * #,##0_ ;_ &quot;R&quot;\ * \-#,##0_ ;_ &quot;R&quot;\ * &quot;-&quot;_ ;_ @_ "/>
    <numFmt numFmtId="185" formatCode="_ &quot;R&quot;\ * #,##0.00_ ;_ &quot;R&quot;\ * \-#,##0.00_ ;_ &quot;R&quot;\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00_);\(#,##0.000\)"/>
    <numFmt numFmtId="193" formatCode="_(* #,##0.000_);_(* \(#,##0.000\);_(* &quot;-&quot;??_);_(@_)"/>
    <numFmt numFmtId="194" formatCode="#,##0.0;\-#,##0.0"/>
    <numFmt numFmtId="195" formatCode="#,##0.000;\-#,##0.000"/>
    <numFmt numFmtId="196" formatCode="&quot;Yes&quot;;&quot;Yes&quot;;&quot;No&quot;"/>
    <numFmt numFmtId="197" formatCode="&quot;True&quot;;&quot;True&quot;;&quot;False&quot;"/>
    <numFmt numFmtId="198" formatCode="&quot;On&quot;;&quot;On&quot;;&quot;Off&quot;"/>
    <numFmt numFmtId="199" formatCode="[$€-2]\ #,##0.00_);[Red]\([$€-2]\ #,##0.00\)"/>
    <numFmt numFmtId="200" formatCode="#,##0.00_ ;[Red]\-#,##0.00\ "/>
    <numFmt numFmtId="201" formatCode="#,##0.00;[Red]#,##0.00"/>
    <numFmt numFmtId="202" formatCode="[$-409]dddd\,\ mmmm\ dd\,\ yyyy"/>
    <numFmt numFmtId="203" formatCode="[$-409]h:mm:ss\ AM/PM"/>
    <numFmt numFmtId="204" formatCode="0.000"/>
    <numFmt numFmtId="205" formatCode="0.0"/>
    <numFmt numFmtId="206" formatCode="_-* #,##0.000_-;\-* #,##0.000_-;_-* &quot;-&quot;??_-;_-@_-"/>
    <numFmt numFmtId="207" formatCode="_-* #,##0.0_-;\-* #,##0.0_-;_-* &quot;-&quot;??_-;_-@_-"/>
    <numFmt numFmtId="208" formatCode="_-* #,##0_-;\-* #,##0_-;_-* &quot;-&quot;??_-;_-@_-"/>
    <numFmt numFmtId="209" formatCode="0.0%"/>
    <numFmt numFmtId="210" formatCode="_-* #,##0.0000_-;\-* #,##0.0000_-;_-* &quot;-&quot;??_-;_-@_-"/>
  </numFmts>
  <fonts count="123">
    <font>
      <sz val="11"/>
      <color theme="1"/>
      <name val="Calibri"/>
      <family val="2"/>
    </font>
    <font>
      <sz val="11"/>
      <color indexed="8"/>
      <name val="Calibri"/>
      <family val="2"/>
    </font>
    <font>
      <sz val="10"/>
      <name val="Arial"/>
      <family val="2"/>
    </font>
    <font>
      <sz val="12"/>
      <name val="ＭＳ Ｐゴシック"/>
      <family val="3"/>
    </font>
    <font>
      <sz val="12"/>
      <name val="Osaka"/>
      <family val="3"/>
    </font>
    <font>
      <b/>
      <sz val="12"/>
      <name val="Arial Narrow"/>
      <family val="2"/>
    </font>
    <font>
      <sz val="12"/>
      <name val="Arial Narrow"/>
      <family val="2"/>
    </font>
    <font>
      <b/>
      <u val="single"/>
      <sz val="12"/>
      <name val="Arial Narrow"/>
      <family val="2"/>
    </font>
    <font>
      <sz val="10"/>
      <name val="Arial Narrow"/>
      <family val="2"/>
    </font>
    <font>
      <u val="single"/>
      <sz val="10"/>
      <name val="Arial Narrow"/>
      <family val="2"/>
    </font>
    <font>
      <b/>
      <sz val="10"/>
      <name val="Arial Narrow"/>
      <family val="2"/>
    </font>
    <font>
      <b/>
      <u val="single"/>
      <sz val="10"/>
      <name val="Arial Narrow"/>
      <family val="2"/>
    </font>
    <font>
      <sz val="16"/>
      <name val="Arial Narrow"/>
      <family val="2"/>
    </font>
    <font>
      <b/>
      <sz val="14"/>
      <name val="Arial Narrow"/>
      <family val="2"/>
    </font>
    <font>
      <sz val="9"/>
      <name val="Arial Narrow"/>
      <family val="2"/>
    </font>
    <font>
      <u val="single"/>
      <sz val="9"/>
      <name val="Arial Narrow"/>
      <family val="2"/>
    </font>
    <font>
      <b/>
      <sz val="9"/>
      <name val="Arial Narrow"/>
      <family val="2"/>
    </font>
    <font>
      <sz val="20"/>
      <name val="Arial Narrow"/>
      <family val="2"/>
    </font>
    <font>
      <b/>
      <sz val="8"/>
      <name val="Arial Narrow"/>
      <family val="2"/>
    </font>
    <font>
      <sz val="8"/>
      <name val="Arial Narrow"/>
      <family val="2"/>
    </font>
    <font>
      <b/>
      <sz val="10"/>
      <name val="Arial"/>
      <family val="2"/>
    </font>
    <font>
      <b/>
      <sz val="9"/>
      <color indexed="10"/>
      <name val="Arial Narrow"/>
      <family val="2"/>
    </font>
    <font>
      <sz val="10"/>
      <color indexed="10"/>
      <name val="Arial Narrow"/>
      <family val="2"/>
    </font>
    <font>
      <u val="single"/>
      <sz val="11"/>
      <color indexed="12"/>
      <name val="Calibri"/>
      <family val="2"/>
    </font>
    <font>
      <u val="single"/>
      <sz val="11"/>
      <color indexed="36"/>
      <name val="Calibri"/>
      <family val="2"/>
    </font>
    <font>
      <b/>
      <sz val="12"/>
      <name val="Arial"/>
      <family val="2"/>
    </font>
    <font>
      <sz val="12"/>
      <name val="Arial"/>
      <family val="2"/>
    </font>
    <font>
      <sz val="12"/>
      <name val="Tahoma"/>
      <family val="2"/>
    </font>
    <font>
      <b/>
      <sz val="12"/>
      <name val="Tahoma"/>
      <family val="2"/>
    </font>
    <font>
      <b/>
      <u val="single"/>
      <sz val="8"/>
      <name val="Arial Narrow"/>
      <family val="2"/>
    </font>
    <font>
      <b/>
      <u val="singleAccounting"/>
      <sz val="12"/>
      <name val="Tahoma"/>
      <family val="2"/>
    </font>
    <font>
      <u val="single"/>
      <sz val="12"/>
      <name val="Tahoma"/>
      <family val="2"/>
    </font>
    <font>
      <b/>
      <sz val="11"/>
      <name val="Times"/>
      <family val="1"/>
    </font>
    <font>
      <sz val="11"/>
      <name val="Times"/>
      <family val="1"/>
    </font>
    <font>
      <u val="single"/>
      <sz val="12"/>
      <name val="Arial Narrow"/>
      <family val="2"/>
    </font>
    <font>
      <sz val="11"/>
      <name val="Times New Roman"/>
      <family val="1"/>
    </font>
    <font>
      <sz val="10"/>
      <name val="Times New Roman"/>
      <family val="1"/>
    </font>
    <font>
      <b/>
      <sz val="11"/>
      <name val="Times New Roman"/>
      <family val="1"/>
    </font>
    <font>
      <b/>
      <sz val="10"/>
      <name val="Times New Roman"/>
      <family val="1"/>
    </font>
    <font>
      <b/>
      <sz val="10"/>
      <name val="Times"/>
      <family val="1"/>
    </font>
    <font>
      <sz val="10"/>
      <name val="Time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ahoma"/>
      <family val="2"/>
    </font>
    <font>
      <sz val="12"/>
      <color indexed="53"/>
      <name val="Tahoma"/>
      <family val="2"/>
    </font>
    <font>
      <sz val="11"/>
      <color indexed="8"/>
      <name val="Times"/>
      <family val="1"/>
    </font>
    <font>
      <b/>
      <sz val="11"/>
      <color indexed="40"/>
      <name val="Times"/>
      <family val="1"/>
    </font>
    <font>
      <sz val="10.5"/>
      <color indexed="8"/>
      <name val="Calibri"/>
      <family val="2"/>
    </font>
    <font>
      <b/>
      <sz val="10.5"/>
      <color indexed="10"/>
      <name val="Calibri"/>
      <family val="2"/>
    </font>
    <font>
      <b/>
      <sz val="10.5"/>
      <color indexed="8"/>
      <name val="Calibri"/>
      <family val="2"/>
    </font>
    <font>
      <b/>
      <sz val="11"/>
      <color indexed="8"/>
      <name val="Times"/>
      <family val="1"/>
    </font>
    <font>
      <sz val="11"/>
      <color indexed="10"/>
      <name val="Times"/>
      <family val="1"/>
    </font>
    <font>
      <b/>
      <sz val="10.5"/>
      <color indexed="49"/>
      <name val="Calibri"/>
      <family val="2"/>
    </font>
    <font>
      <sz val="12"/>
      <name val="Calibri"/>
      <family val="2"/>
    </font>
    <font>
      <sz val="10"/>
      <color indexed="8"/>
      <name val="Times"/>
      <family val="1"/>
    </font>
    <font>
      <b/>
      <sz val="10"/>
      <color indexed="8"/>
      <name val="Times"/>
      <family val="0"/>
    </font>
    <font>
      <sz val="10"/>
      <color indexed="8"/>
      <name val="Times New Roman"/>
      <family val="1"/>
    </font>
    <font>
      <b/>
      <sz val="10"/>
      <color indexed="40"/>
      <name val="Times"/>
      <family val="0"/>
    </font>
    <font>
      <sz val="10.5"/>
      <name val="Calibri"/>
      <family val="2"/>
    </font>
    <font>
      <b/>
      <sz val="9"/>
      <color indexed="62"/>
      <name val="Calibri"/>
      <family val="2"/>
    </font>
    <font>
      <b/>
      <sz val="10.5"/>
      <name val="Calibri"/>
      <family val="2"/>
    </font>
    <font>
      <b/>
      <sz val="11"/>
      <color indexed="10"/>
      <name val="Calibri"/>
      <family val="2"/>
    </font>
    <font>
      <b/>
      <sz val="11"/>
      <color indexed="17"/>
      <name val="Calibri"/>
      <family val="2"/>
    </font>
    <font>
      <b/>
      <sz val="12"/>
      <color indexed="8"/>
      <name val="Calibri"/>
      <family val="2"/>
    </font>
    <font>
      <b/>
      <sz val="9"/>
      <color indexed="10"/>
      <name val="Calibri"/>
      <family val="2"/>
    </font>
    <font>
      <sz val="10.5"/>
      <color indexed="10"/>
      <name val="Calibri"/>
      <family val="2"/>
    </font>
    <font>
      <b/>
      <sz val="11"/>
      <name val="Calibri"/>
      <family val="2"/>
    </font>
    <font>
      <b/>
      <sz val="12"/>
      <name val="Calibri"/>
      <family val="2"/>
    </font>
    <font>
      <sz val="10"/>
      <color indexed="8"/>
      <name val="Arial Narrow"/>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ahoma"/>
      <family val="2"/>
    </font>
    <font>
      <sz val="10"/>
      <color rgb="FFFF0000"/>
      <name val="Arial Narrow"/>
      <family val="2"/>
    </font>
    <font>
      <sz val="12"/>
      <color theme="9" tint="-0.24997000396251678"/>
      <name val="Tahoma"/>
      <family val="2"/>
    </font>
    <font>
      <sz val="11"/>
      <color theme="1"/>
      <name val="Times"/>
      <family val="1"/>
    </font>
    <font>
      <b/>
      <sz val="11"/>
      <color rgb="FF00B0F0"/>
      <name val="Times"/>
      <family val="1"/>
    </font>
    <font>
      <sz val="10.5"/>
      <color theme="1"/>
      <name val="Calibri"/>
      <family val="2"/>
    </font>
    <font>
      <b/>
      <sz val="10.5"/>
      <color rgb="FFFF0000"/>
      <name val="Calibri"/>
      <family val="2"/>
    </font>
    <font>
      <b/>
      <sz val="10.5"/>
      <color theme="1"/>
      <name val="Calibri"/>
      <family val="2"/>
    </font>
    <font>
      <b/>
      <sz val="11"/>
      <color theme="1"/>
      <name val="Times"/>
      <family val="1"/>
    </font>
    <font>
      <sz val="11"/>
      <color rgb="FFFF0000"/>
      <name val="Times"/>
      <family val="1"/>
    </font>
    <font>
      <b/>
      <sz val="10.5"/>
      <color theme="8" tint="-0.24997000396251678"/>
      <name val="Calibri"/>
      <family val="2"/>
    </font>
    <font>
      <sz val="10"/>
      <color theme="1"/>
      <name val="Times"/>
      <family val="1"/>
    </font>
    <font>
      <b/>
      <sz val="10"/>
      <color theme="1"/>
      <name val="Times"/>
      <family val="0"/>
    </font>
    <font>
      <sz val="10"/>
      <color theme="1"/>
      <name val="Times New Roman"/>
      <family val="1"/>
    </font>
    <font>
      <b/>
      <sz val="10"/>
      <color rgb="FF00B0F0"/>
      <name val="Times"/>
      <family val="0"/>
    </font>
    <font>
      <b/>
      <sz val="9"/>
      <color theme="3" tint="0.39998000860214233"/>
      <name val="Calibri"/>
      <family val="2"/>
    </font>
    <font>
      <b/>
      <sz val="11"/>
      <color rgb="FFFF0000"/>
      <name val="Calibri"/>
      <family val="2"/>
    </font>
    <font>
      <b/>
      <sz val="11"/>
      <color rgb="FF00B050"/>
      <name val="Calibri"/>
      <family val="2"/>
    </font>
    <font>
      <b/>
      <sz val="12"/>
      <color theme="1"/>
      <name val="Calibri"/>
      <family val="2"/>
    </font>
    <font>
      <b/>
      <sz val="9"/>
      <color rgb="FFFF0000"/>
      <name val="Calibri"/>
      <family val="2"/>
    </font>
    <font>
      <sz val="10.5"/>
      <color rgb="FFFF0000"/>
      <name val="Calibri"/>
      <family val="2"/>
    </font>
    <font>
      <sz val="10"/>
      <color theme="1"/>
      <name val="Arial Narrow"/>
      <family val="2"/>
    </font>
    <font>
      <b/>
      <sz val="14"/>
      <color theme="1"/>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rgb="FFFFCCFF"/>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0" tint="-0.34997999668121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style="medium"/>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thin"/>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style="double"/>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medium"/>
      <top>
        <color indexed="63"/>
      </top>
      <bottom>
        <color indexed="63"/>
      </bottom>
    </border>
    <border>
      <left style="medium"/>
      <right style="medium"/>
      <top style="medium"/>
      <bottom style="thin"/>
    </border>
    <border>
      <left style="medium"/>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medium"/>
      <top style="thin"/>
      <bottom>
        <color indexed="63"/>
      </bottom>
    </border>
    <border>
      <left style="thin"/>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thin"/>
    </border>
    <border>
      <left style="thin"/>
      <right style="thin"/>
      <top style="thin"/>
      <bottom>
        <color indexed="63"/>
      </bottom>
    </border>
    <border>
      <left style="thin"/>
      <right style="thin"/>
      <top style="thin"/>
      <bottom style="mediu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thin"/>
      <top style="thin"/>
      <bottom style="thin"/>
    </border>
    <border>
      <left style="medium"/>
      <right>
        <color indexed="63"/>
      </right>
      <top style="medium"/>
      <bottom style="medium"/>
    </border>
    <border>
      <left style="thin"/>
      <right>
        <color indexed="63"/>
      </right>
      <top style="thin"/>
      <bottom style="double"/>
    </border>
    <border>
      <left>
        <color indexed="63"/>
      </left>
      <right style="thin"/>
      <top style="thin"/>
      <bottom style="double"/>
    </border>
    <border>
      <left>
        <color indexed="63"/>
      </left>
      <right>
        <color indexed="63"/>
      </right>
      <top style="medium"/>
      <bottom style="thin"/>
    </border>
    <border>
      <left style="medium"/>
      <right>
        <color indexed="63"/>
      </right>
      <top style="thin"/>
      <bottom style="medium"/>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thin"/>
    </border>
    <border>
      <left>
        <color indexed="63"/>
      </left>
      <right style="medium"/>
      <top style="medium"/>
      <bottom style="medium"/>
    </border>
    <border>
      <left>
        <color indexed="63"/>
      </left>
      <right>
        <color indexed="63"/>
      </right>
      <top style="thin"/>
      <bottom style="medium"/>
    </border>
    <border>
      <left style="medium"/>
      <right style="thin"/>
      <top style="thin"/>
      <bottom style="thin"/>
    </border>
    <border>
      <left>
        <color indexed="63"/>
      </left>
      <right style="thin"/>
      <top style="thin"/>
      <bottom style="medium"/>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style="medium"/>
    </border>
    <border>
      <left>
        <color indexed="63"/>
      </left>
      <right style="thin"/>
      <top style="medium"/>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25" borderId="0" applyNumberFormat="0" applyBorder="0" applyAlignment="0" applyProtection="0"/>
    <xf numFmtId="0" fontId="86" fillId="26" borderId="1" applyNumberFormat="0" applyAlignment="0" applyProtection="0"/>
    <xf numFmtId="0" fontId="87"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40" fontId="3"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0" fontId="88" fillId="0" borderId="0" applyNumberFormat="0" applyFill="0" applyBorder="0" applyAlignment="0" applyProtection="0"/>
    <xf numFmtId="0" fontId="24" fillId="0" borderId="0" applyNumberFormat="0" applyFill="0" applyBorder="0" applyAlignment="0" applyProtection="0"/>
    <xf numFmtId="0" fontId="89" fillId="28"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1" applyNumberFormat="0" applyAlignment="0" applyProtection="0"/>
    <xf numFmtId="0" fontId="94" fillId="0" borderId="6" applyNumberFormat="0" applyFill="0" applyAlignment="0" applyProtection="0"/>
    <xf numFmtId="0" fontId="95" fillId="30"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1" fillId="31" borderId="7" applyNumberFormat="0" applyFont="0" applyAlignment="0" applyProtection="0"/>
    <xf numFmtId="0" fontId="96"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673">
    <xf numFmtId="0" fontId="0" fillId="0" borderId="0" xfId="0" applyFont="1" applyAlignment="1">
      <alignment/>
    </xf>
    <xf numFmtId="0" fontId="5" fillId="0" borderId="0" xfId="63" applyFont="1" applyBorder="1" applyAlignment="1">
      <alignment/>
      <protection/>
    </xf>
    <xf numFmtId="0" fontId="5" fillId="0" borderId="0" xfId="63" applyFont="1" applyBorder="1" applyAlignment="1">
      <alignment horizontal="centerContinuous"/>
      <protection/>
    </xf>
    <xf numFmtId="0" fontId="5" fillId="0" borderId="0" xfId="63" applyFont="1">
      <alignment/>
      <protection/>
    </xf>
    <xf numFmtId="0" fontId="6" fillId="0" borderId="0" xfId="61" applyFont="1">
      <alignment/>
      <protection/>
    </xf>
    <xf numFmtId="0" fontId="8" fillId="0" borderId="0" xfId="63" applyFont="1">
      <alignment/>
      <protection/>
    </xf>
    <xf numFmtId="0" fontId="8" fillId="0" borderId="0" xfId="63" applyFont="1" applyFill="1">
      <alignment/>
      <protection/>
    </xf>
    <xf numFmtId="0" fontId="8" fillId="0" borderId="0" xfId="61" applyFont="1">
      <alignment/>
      <protection/>
    </xf>
    <xf numFmtId="0" fontId="9" fillId="0" borderId="0" xfId="63" applyFont="1" applyBorder="1">
      <alignment/>
      <protection/>
    </xf>
    <xf numFmtId="0" fontId="8" fillId="0" borderId="0" xfId="63" applyFont="1" applyBorder="1">
      <alignment/>
      <protection/>
    </xf>
    <xf numFmtId="0" fontId="8" fillId="0" borderId="0" xfId="63" applyFont="1" applyFill="1" applyBorder="1">
      <alignment/>
      <protection/>
    </xf>
    <xf numFmtId="0" fontId="8" fillId="0" borderId="0" xfId="63" applyFont="1" applyBorder="1" applyAlignment="1">
      <alignment horizontal="left"/>
      <protection/>
    </xf>
    <xf numFmtId="0" fontId="11" fillId="0" borderId="0" xfId="63" applyFont="1" applyFill="1" applyBorder="1" applyAlignment="1">
      <alignment horizontal="centerContinuous"/>
      <protection/>
    </xf>
    <xf numFmtId="0" fontId="10" fillId="0" borderId="0" xfId="63" applyFont="1" applyFill="1" applyBorder="1" applyAlignment="1">
      <alignment horizontal="centerContinuous"/>
      <protection/>
    </xf>
    <xf numFmtId="0" fontId="8" fillId="0" borderId="0" xfId="63" applyFont="1" applyBorder="1" applyAlignment="1">
      <alignment horizontal="lef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8" fillId="0" borderId="0" xfId="63" applyFont="1" applyBorder="1" applyAlignment="1">
      <alignment horizontal="center" vertical="center"/>
      <protection/>
    </xf>
    <xf numFmtId="0" fontId="14" fillId="0" borderId="0" xfId="63" applyFont="1" applyBorder="1" applyAlignment="1">
      <alignment horizontal="center" vertical="center"/>
      <protection/>
    </xf>
    <xf numFmtId="0" fontId="10" fillId="0" borderId="0" xfId="63" applyFont="1" applyBorder="1" applyAlignment="1">
      <alignment vertical="center"/>
      <protection/>
    </xf>
    <xf numFmtId="0" fontId="16" fillId="0" borderId="0" xfId="63" applyFont="1" applyBorder="1" applyAlignment="1">
      <alignment vertical="center"/>
      <protection/>
    </xf>
    <xf numFmtId="0" fontId="8" fillId="0" borderId="0" xfId="63" applyFont="1" applyAlignment="1">
      <alignment horizontal="right" vertical="center"/>
      <protection/>
    </xf>
    <xf numFmtId="0" fontId="8" fillId="0" borderId="0" xfId="63" applyFont="1" applyFill="1" applyAlignment="1">
      <alignment horizontal="right" vertical="center"/>
      <protection/>
    </xf>
    <xf numFmtId="0" fontId="10" fillId="0" borderId="0" xfId="63" applyFont="1" applyAlignment="1">
      <alignment horizontal="right" vertical="center"/>
      <protection/>
    </xf>
    <xf numFmtId="0" fontId="11" fillId="0" borderId="0" xfId="63" applyFont="1" applyBorder="1">
      <alignment/>
      <protection/>
    </xf>
    <xf numFmtId="0" fontId="17" fillId="0" borderId="0" xfId="63" applyFont="1" applyBorder="1" applyAlignment="1">
      <alignment horizontal="right" vertical="top"/>
      <protection/>
    </xf>
    <xf numFmtId="0" fontId="8" fillId="0" borderId="10" xfId="63" applyFont="1" applyBorder="1">
      <alignment/>
      <protection/>
    </xf>
    <xf numFmtId="15" fontId="8" fillId="0" borderId="0" xfId="63" applyNumberFormat="1" applyFont="1" applyFill="1" applyBorder="1" applyAlignment="1">
      <alignment horizontal="right"/>
      <protection/>
    </xf>
    <xf numFmtId="15" fontId="8" fillId="0" borderId="0" xfId="63" applyNumberFormat="1" applyFont="1" applyFill="1" applyBorder="1" applyAlignment="1">
      <alignment horizontal="center"/>
      <protection/>
    </xf>
    <xf numFmtId="0" fontId="18" fillId="0" borderId="0" xfId="63" applyFont="1" applyBorder="1" applyAlignment="1">
      <alignment horizontal="right" vertical="center"/>
      <protection/>
    </xf>
    <xf numFmtId="0" fontId="19" fillId="0" borderId="0" xfId="63" applyFont="1" applyBorder="1" applyAlignment="1">
      <alignment horizontal="right" vertical="center"/>
      <protection/>
    </xf>
    <xf numFmtId="0" fontId="19" fillId="0" borderId="0" xfId="63" applyFont="1" applyBorder="1" applyAlignment="1">
      <alignment vertical="center"/>
      <protection/>
    </xf>
    <xf numFmtId="0" fontId="19" fillId="0" borderId="0" xfId="63" applyFont="1" applyBorder="1">
      <alignment/>
      <protection/>
    </xf>
    <xf numFmtId="0" fontId="19" fillId="0" borderId="0" xfId="63" applyFont="1">
      <alignment/>
      <protection/>
    </xf>
    <xf numFmtId="0" fontId="19" fillId="0" borderId="0" xfId="63" applyFont="1" applyFill="1" applyBorder="1" applyAlignment="1">
      <alignment horizontal="center"/>
      <protection/>
    </xf>
    <xf numFmtId="0" fontId="16" fillId="0" borderId="11" xfId="63" applyFont="1" applyBorder="1" applyAlignment="1">
      <alignment vertical="center"/>
      <protection/>
    </xf>
    <xf numFmtId="0" fontId="19" fillId="0" borderId="11" xfId="63" applyFont="1" applyBorder="1" applyAlignment="1">
      <alignment horizontal="right" vertical="center"/>
      <protection/>
    </xf>
    <xf numFmtId="0" fontId="19" fillId="0" borderId="11" xfId="63" applyFont="1" applyBorder="1" applyAlignment="1">
      <alignment horizontal="left" vertical="center" wrapText="1"/>
      <protection/>
    </xf>
    <xf numFmtId="0" fontId="8" fillId="0" borderId="0" xfId="63" applyFont="1" applyFill="1" applyBorder="1" applyAlignment="1">
      <alignment horizontal="center"/>
      <protection/>
    </xf>
    <xf numFmtId="0" fontId="11" fillId="0" borderId="0" xfId="63" applyFont="1">
      <alignment/>
      <protection/>
    </xf>
    <xf numFmtId="0" fontId="8" fillId="0" borderId="0" xfId="61" applyFont="1" applyFill="1" applyBorder="1" applyAlignment="1">
      <alignment vertical="center"/>
      <protection/>
    </xf>
    <xf numFmtId="0" fontId="8" fillId="0" borderId="0" xfId="61" applyFont="1" applyFill="1" applyAlignment="1">
      <alignment vertical="center"/>
      <protection/>
    </xf>
    <xf numFmtId="0" fontId="8" fillId="0" borderId="0" xfId="63" applyFont="1" applyFill="1" applyBorder="1" applyAlignment="1">
      <alignment vertical="center"/>
      <protection/>
    </xf>
    <xf numFmtId="0" fontId="8" fillId="0" borderId="0" xfId="61" applyFont="1" applyFill="1">
      <alignment/>
      <protection/>
    </xf>
    <xf numFmtId="0" fontId="8" fillId="0" borderId="0" xfId="61" applyFont="1" applyBorder="1" applyAlignment="1">
      <alignment/>
      <protection/>
    </xf>
    <xf numFmtId="0" fontId="14" fillId="0" borderId="0" xfId="63" applyFont="1" applyFill="1" applyBorder="1" applyAlignment="1">
      <alignment/>
      <protection/>
    </xf>
    <xf numFmtId="3" fontId="19" fillId="0" borderId="0" xfId="63" applyNumberFormat="1" applyFont="1" applyBorder="1" applyAlignment="1">
      <alignment horizontal="center"/>
      <protection/>
    </xf>
    <xf numFmtId="0" fontId="14" fillId="0" borderId="0" xfId="63" applyFont="1" applyFill="1" applyBorder="1" applyAlignment="1">
      <alignment vertical="center"/>
      <protection/>
    </xf>
    <xf numFmtId="0" fontId="14" fillId="0" borderId="0" xfId="63" applyFont="1" applyFill="1" applyBorder="1">
      <alignment/>
      <protection/>
    </xf>
    <xf numFmtId="3" fontId="19" fillId="0" borderId="0" xfId="63" applyNumberFormat="1" applyFont="1" applyBorder="1" applyAlignment="1">
      <alignment horizontal="center" vertical="center"/>
      <protection/>
    </xf>
    <xf numFmtId="0" fontId="19" fillId="0" borderId="0" xfId="63" applyFont="1" applyFill="1" applyBorder="1" applyAlignment="1">
      <alignment vertical="center"/>
      <protection/>
    </xf>
    <xf numFmtId="0" fontId="8" fillId="0" borderId="0" xfId="61" applyFont="1" applyBorder="1">
      <alignment/>
      <protection/>
    </xf>
    <xf numFmtId="0" fontId="14" fillId="0" borderId="0" xfId="63" applyFont="1" applyFill="1" applyBorder="1" applyAlignment="1">
      <alignment horizontal="left" vertical="top" wrapText="1"/>
      <protection/>
    </xf>
    <xf numFmtId="3" fontId="8" fillId="0" borderId="0" xfId="63" applyNumberFormat="1" applyFont="1" applyBorder="1" applyAlignment="1">
      <alignment horizontal="center" vertical="center"/>
      <protection/>
    </xf>
    <xf numFmtId="0" fontId="19" fillId="0" borderId="0" xfId="63" applyFont="1" applyFill="1" applyBorder="1" applyAlignment="1">
      <alignment horizontal="left" vertical="center" wrapText="1"/>
      <protection/>
    </xf>
    <xf numFmtId="49" fontId="8" fillId="0" borderId="12" xfId="47" applyNumberFormat="1" applyFont="1" applyFill="1" applyBorder="1" applyAlignment="1">
      <alignment horizontal="center" vertical="center"/>
    </xf>
    <xf numFmtId="0" fontId="8" fillId="0" borderId="13" xfId="63" applyFont="1" applyFill="1" applyBorder="1" applyAlignment="1">
      <alignment horizontal="right" vertical="center"/>
      <protection/>
    </xf>
    <xf numFmtId="0" fontId="14" fillId="0" borderId="0" xfId="63" applyFont="1" applyFill="1" applyBorder="1" applyAlignment="1">
      <alignment horizontal="center"/>
      <protection/>
    </xf>
    <xf numFmtId="15" fontId="8" fillId="0" borderId="10" xfId="63" applyNumberFormat="1" applyFont="1" applyBorder="1">
      <alignment/>
      <protection/>
    </xf>
    <xf numFmtId="0" fontId="8" fillId="0" borderId="14" xfId="63" applyFont="1" applyFill="1" applyBorder="1" applyAlignment="1">
      <alignment horizontal="right" vertical="center"/>
      <protection/>
    </xf>
    <xf numFmtId="49" fontId="8" fillId="0" borderId="15" xfId="47" applyNumberFormat="1" applyFont="1" applyFill="1" applyBorder="1" applyAlignment="1">
      <alignment horizontal="center" vertical="center"/>
    </xf>
    <xf numFmtId="0" fontId="8" fillId="0" borderId="16" xfId="63" applyFont="1" applyBorder="1" applyAlignment="1">
      <alignment horizontal="left" vertical="center" wrapText="1"/>
      <protection/>
    </xf>
    <xf numFmtId="0" fontId="8" fillId="0" borderId="17" xfId="63" applyFont="1" applyFill="1" applyBorder="1" applyAlignment="1">
      <alignment horizontal="right" vertical="center"/>
      <protection/>
    </xf>
    <xf numFmtId="49" fontId="8" fillId="0" borderId="18" xfId="47" applyNumberFormat="1" applyFont="1" applyFill="1" applyBorder="1" applyAlignment="1">
      <alignment horizontal="center" vertical="center"/>
    </xf>
    <xf numFmtId="0" fontId="8" fillId="0" borderId="19" xfId="63" applyFont="1" applyBorder="1" applyAlignment="1">
      <alignment horizontal="left" vertical="center" wrapText="1"/>
      <protection/>
    </xf>
    <xf numFmtId="0" fontId="8" fillId="0" borderId="0" xfId="63" applyFont="1" applyFill="1" applyBorder="1" applyAlignment="1">
      <alignment horizontal="right" vertical="center"/>
      <protection/>
    </xf>
    <xf numFmtId="0" fontId="10" fillId="0" borderId="16" xfId="63" applyFont="1" applyBorder="1" applyAlignment="1">
      <alignment horizontal="right" vertical="center"/>
      <protection/>
    </xf>
    <xf numFmtId="0" fontId="10" fillId="0" borderId="17" xfId="63" applyFont="1" applyBorder="1" applyAlignment="1">
      <alignment horizontal="right" vertical="center"/>
      <protection/>
    </xf>
    <xf numFmtId="49" fontId="10" fillId="0" borderId="18" xfId="47" applyNumberFormat="1" applyFont="1" applyFill="1" applyBorder="1" applyAlignment="1">
      <alignment horizontal="center" vertical="center"/>
    </xf>
    <xf numFmtId="49" fontId="8" fillId="0" borderId="20" xfId="47" applyNumberFormat="1" applyFont="1" applyFill="1" applyBorder="1" applyAlignment="1">
      <alignment horizontal="center" vertical="center"/>
    </xf>
    <xf numFmtId="4" fontId="8" fillId="0" borderId="0" xfId="63" applyNumberFormat="1" applyFont="1" applyAlignment="1">
      <alignment horizontal="right" vertical="center"/>
      <protection/>
    </xf>
    <xf numFmtId="4" fontId="8" fillId="0" borderId="21" xfId="44" applyNumberFormat="1" applyFont="1" applyFill="1" applyBorder="1" applyAlignment="1">
      <alignment horizontal="right" vertical="center"/>
    </xf>
    <xf numFmtId="4" fontId="8" fillId="0" borderId="0" xfId="47" applyNumberFormat="1" applyFont="1" applyFill="1" applyAlignment="1">
      <alignment horizontal="right" vertical="center"/>
    </xf>
    <xf numFmtId="4" fontId="8" fillId="0" borderId="22" xfId="44" applyNumberFormat="1" applyFont="1" applyFill="1" applyBorder="1" applyAlignment="1">
      <alignment horizontal="right" vertical="center"/>
    </xf>
    <xf numFmtId="4" fontId="10" fillId="0" borderId="23" xfId="44" applyNumberFormat="1" applyFont="1" applyFill="1" applyBorder="1" applyAlignment="1">
      <alignment horizontal="right" vertical="center"/>
    </xf>
    <xf numFmtId="4" fontId="2" fillId="0" borderId="0" xfId="61" applyNumberFormat="1" applyBorder="1">
      <alignment/>
      <protection/>
    </xf>
    <xf numFmtId="4" fontId="10" fillId="0" borderId="0" xfId="47" applyNumberFormat="1" applyFont="1" applyAlignment="1">
      <alignment horizontal="right" vertical="center"/>
    </xf>
    <xf numFmtId="4" fontId="10" fillId="32" borderId="22" xfId="44" applyNumberFormat="1" applyFont="1" applyFill="1" applyBorder="1" applyAlignment="1">
      <alignment horizontal="right" vertical="center"/>
    </xf>
    <xf numFmtId="171" fontId="8" fillId="0" borderId="0" xfId="42" applyFont="1" applyAlignment="1">
      <alignment horizontal="center"/>
    </xf>
    <xf numFmtId="171" fontId="8" fillId="0" borderId="0" xfId="42" applyFont="1" applyAlignment="1">
      <alignment horizontal="right" vertical="center"/>
    </xf>
    <xf numFmtId="171" fontId="5" fillId="0" borderId="0" xfId="42" applyFont="1" applyAlignment="1">
      <alignment/>
    </xf>
    <xf numFmtId="171" fontId="8" fillId="0" borderId="0" xfId="42" applyFont="1" applyAlignment="1">
      <alignment/>
    </xf>
    <xf numFmtId="171" fontId="8" fillId="0" borderId="24" xfId="42" applyFont="1" applyBorder="1" applyAlignment="1">
      <alignment vertical="center"/>
    </xf>
    <xf numFmtId="171" fontId="8" fillId="0" borderId="0" xfId="42" applyFont="1" applyBorder="1" applyAlignment="1">
      <alignment horizontal="center" vertical="center"/>
    </xf>
    <xf numFmtId="171" fontId="10" fillId="0" borderId="0" xfId="42" applyFont="1" applyBorder="1" applyAlignment="1">
      <alignment vertical="center"/>
    </xf>
    <xf numFmtId="171" fontId="8" fillId="0" borderId="0" xfId="42" applyFont="1" applyFill="1" applyAlignment="1">
      <alignment horizontal="right" vertical="center"/>
    </xf>
    <xf numFmtId="171" fontId="8" fillId="0" borderId="0" xfId="42" applyFont="1" applyFill="1" applyBorder="1" applyAlignment="1">
      <alignment horizontal="right" vertical="center"/>
    </xf>
    <xf numFmtId="171" fontId="10" fillId="0" borderId="0" xfId="42" applyFont="1" applyAlignment="1">
      <alignment horizontal="right" vertical="center"/>
    </xf>
    <xf numFmtId="171" fontId="14" fillId="0" borderId="0" xfId="42" applyFont="1" applyBorder="1" applyAlignment="1">
      <alignment/>
    </xf>
    <xf numFmtId="171" fontId="8" fillId="0" borderId="0" xfId="42" applyFont="1" applyFill="1" applyBorder="1" applyAlignment="1">
      <alignment/>
    </xf>
    <xf numFmtId="171" fontId="8" fillId="0" borderId="0" xfId="42" applyFont="1" applyFill="1" applyBorder="1" applyAlignment="1">
      <alignment vertical="center"/>
    </xf>
    <xf numFmtId="171" fontId="14" fillId="0" borderId="0" xfId="42" applyFont="1" applyFill="1" applyBorder="1" applyAlignment="1">
      <alignment vertical="top" wrapText="1"/>
    </xf>
    <xf numFmtId="171" fontId="19" fillId="0" borderId="0" xfId="42" applyFont="1" applyFill="1" applyBorder="1" applyAlignment="1">
      <alignment horizontal="center"/>
    </xf>
    <xf numFmtId="171" fontId="19" fillId="0" borderId="0" xfId="42" applyFont="1" applyFill="1" applyBorder="1" applyAlignment="1">
      <alignment horizontal="center" vertical="center"/>
    </xf>
    <xf numFmtId="171" fontId="8" fillId="0" borderId="0" xfId="42" applyFont="1" applyFill="1" applyBorder="1" applyAlignment="1">
      <alignment horizontal="center" vertical="center"/>
    </xf>
    <xf numFmtId="171" fontId="0" fillId="0" borderId="0" xfId="42" applyFont="1" applyAlignment="1">
      <alignment/>
    </xf>
    <xf numFmtId="179" fontId="25" fillId="0" borderId="0" xfId="44" applyFont="1" applyFill="1" applyAlignment="1">
      <alignment/>
    </xf>
    <xf numFmtId="0" fontId="27" fillId="0" borderId="0" xfId="0" applyFont="1" applyAlignment="1">
      <alignment/>
    </xf>
    <xf numFmtId="179" fontId="27" fillId="0" borderId="0" xfId="0" applyNumberFormat="1" applyFont="1" applyAlignment="1">
      <alignment/>
    </xf>
    <xf numFmtId="43" fontId="27" fillId="0" borderId="0" xfId="0" applyNumberFormat="1" applyFont="1" applyAlignment="1">
      <alignment/>
    </xf>
    <xf numFmtId="14" fontId="27" fillId="0" borderId="0" xfId="0" applyNumberFormat="1" applyFont="1" applyAlignment="1">
      <alignment/>
    </xf>
    <xf numFmtId="0" fontId="27" fillId="33" borderId="25" xfId="0" applyFont="1" applyFill="1" applyBorder="1" applyAlignment="1">
      <alignment/>
    </xf>
    <xf numFmtId="0" fontId="27" fillId="0" borderId="26" xfId="0" applyFont="1" applyBorder="1" applyAlignment="1">
      <alignment/>
    </xf>
    <xf numFmtId="0" fontId="27" fillId="0" borderId="0" xfId="0" applyFont="1" applyBorder="1" applyAlignment="1">
      <alignment/>
    </xf>
    <xf numFmtId="179" fontId="27" fillId="0" borderId="0" xfId="0" applyNumberFormat="1" applyFont="1" applyBorder="1" applyAlignment="1">
      <alignment/>
    </xf>
    <xf numFmtId="0" fontId="27" fillId="0" borderId="27" xfId="0" applyFont="1" applyBorder="1" applyAlignment="1">
      <alignment/>
    </xf>
    <xf numFmtId="14" fontId="28" fillId="34" borderId="26" xfId="0" applyNumberFormat="1" applyFont="1" applyFill="1" applyBorder="1" applyAlignment="1">
      <alignment/>
    </xf>
    <xf numFmtId="0" fontId="28" fillId="34" borderId="0" xfId="0" applyFont="1" applyFill="1" applyBorder="1" applyAlignment="1">
      <alignment/>
    </xf>
    <xf numFmtId="179" fontId="28" fillId="34" borderId="0" xfId="0" applyNumberFormat="1" applyFont="1" applyFill="1" applyBorder="1" applyAlignment="1">
      <alignment/>
    </xf>
    <xf numFmtId="0" fontId="28" fillId="34" borderId="27" xfId="0" applyFont="1" applyFill="1" applyBorder="1" applyAlignment="1">
      <alignment/>
    </xf>
    <xf numFmtId="179" fontId="100" fillId="0" borderId="0" xfId="0" applyNumberFormat="1" applyFont="1" applyBorder="1" applyAlignment="1">
      <alignment/>
    </xf>
    <xf numFmtId="0" fontId="28" fillId="0" borderId="0" xfId="0" applyFont="1" applyBorder="1" applyAlignment="1">
      <alignment wrapText="1"/>
    </xf>
    <xf numFmtId="179" fontId="28" fillId="0" borderId="0" xfId="0" applyNumberFormat="1" applyFont="1" applyBorder="1" applyAlignment="1">
      <alignment/>
    </xf>
    <xf numFmtId="179" fontId="27" fillId="0" borderId="27" xfId="0" applyNumberFormat="1" applyFont="1" applyBorder="1" applyAlignment="1">
      <alignment/>
    </xf>
    <xf numFmtId="0" fontId="27" fillId="0" borderId="27" xfId="0" applyFont="1" applyFill="1" applyBorder="1" applyAlignment="1">
      <alignment/>
    </xf>
    <xf numFmtId="0" fontId="27" fillId="0" borderId="28" xfId="0" applyFont="1" applyBorder="1" applyAlignment="1">
      <alignment/>
    </xf>
    <xf numFmtId="0" fontId="27" fillId="0" borderId="29" xfId="0" applyFont="1" applyBorder="1" applyAlignment="1">
      <alignment/>
    </xf>
    <xf numFmtId="179" fontId="27" fillId="0" borderId="29" xfId="0" applyNumberFormat="1" applyFont="1" applyBorder="1" applyAlignment="1">
      <alignment/>
    </xf>
    <xf numFmtId="0" fontId="27" fillId="0" borderId="30" xfId="0" applyFont="1" applyBorder="1" applyAlignment="1">
      <alignment/>
    </xf>
    <xf numFmtId="171" fontId="27" fillId="0" borderId="0" xfId="42" applyFont="1" applyAlignment="1">
      <alignment/>
    </xf>
    <xf numFmtId="171" fontId="101" fillId="0" borderId="0" xfId="42" applyFont="1" applyFill="1" applyAlignment="1">
      <alignment horizontal="right" vertical="center"/>
    </xf>
    <xf numFmtId="179" fontId="25" fillId="0" borderId="0" xfId="44" applyFont="1" applyFill="1" applyBorder="1" applyAlignment="1">
      <alignment/>
    </xf>
    <xf numFmtId="171" fontId="102" fillId="0" borderId="27" xfId="42" applyFont="1" applyBorder="1" applyAlignment="1">
      <alignment/>
    </xf>
    <xf numFmtId="0" fontId="27" fillId="0" borderId="0" xfId="0" applyFont="1" applyBorder="1" applyAlignment="1">
      <alignment wrapText="1"/>
    </xf>
    <xf numFmtId="171" fontId="27" fillId="0" borderId="0" xfId="42" applyFont="1" applyBorder="1" applyAlignment="1">
      <alignment/>
    </xf>
    <xf numFmtId="171" fontId="27" fillId="0" borderId="0" xfId="0" applyNumberFormat="1" applyFont="1" applyAlignment="1">
      <alignment/>
    </xf>
    <xf numFmtId="4" fontId="10" fillId="0" borderId="0" xfId="47" applyNumberFormat="1" applyFont="1" applyFill="1" applyAlignment="1">
      <alignment horizontal="right" vertical="center"/>
    </xf>
    <xf numFmtId="4" fontId="10" fillId="0" borderId="10" xfId="47" applyNumberFormat="1" applyFont="1" applyFill="1" applyBorder="1" applyAlignment="1">
      <alignment horizontal="right" vertical="center"/>
    </xf>
    <xf numFmtId="0" fontId="100" fillId="0" borderId="0" xfId="0" applyFont="1" applyBorder="1" applyAlignment="1">
      <alignment wrapText="1"/>
    </xf>
    <xf numFmtId="0" fontId="28" fillId="34" borderId="0" xfId="0" applyFont="1" applyFill="1" applyBorder="1" applyAlignment="1">
      <alignment wrapText="1"/>
    </xf>
    <xf numFmtId="14" fontId="28" fillId="34" borderId="26" xfId="0" applyNumberFormat="1" applyFont="1" applyFill="1" applyBorder="1" applyAlignment="1" quotePrefix="1">
      <alignment/>
    </xf>
    <xf numFmtId="0" fontId="16" fillId="0" borderId="0" xfId="63" applyFont="1" applyFill="1" applyBorder="1" applyAlignment="1">
      <alignment vertical="center"/>
      <protection/>
    </xf>
    <xf numFmtId="4" fontId="10" fillId="0" borderId="0" xfId="44" applyNumberFormat="1" applyFont="1" applyFill="1" applyBorder="1" applyAlignment="1">
      <alignment horizontal="right" vertical="center"/>
    </xf>
    <xf numFmtId="179" fontId="27" fillId="0" borderId="0" xfId="0" applyNumberFormat="1" applyFont="1" applyFill="1" applyAlignment="1">
      <alignment/>
    </xf>
    <xf numFmtId="0" fontId="31" fillId="0" borderId="0" xfId="0" applyFont="1" applyFill="1" applyAlignment="1">
      <alignment/>
    </xf>
    <xf numFmtId="0" fontId="27" fillId="0" borderId="0" xfId="0" applyFont="1" applyFill="1" applyAlignment="1">
      <alignment/>
    </xf>
    <xf numFmtId="179" fontId="5" fillId="0" borderId="0" xfId="0" applyNumberFormat="1" applyFont="1" applyFill="1" applyBorder="1" applyAlignment="1">
      <alignment/>
    </xf>
    <xf numFmtId="0" fontId="32" fillId="0" borderId="0" xfId="0" applyFont="1" applyAlignment="1">
      <alignment/>
    </xf>
    <xf numFmtId="0" fontId="103" fillId="0" borderId="0" xfId="0" applyFont="1" applyAlignment="1">
      <alignment/>
    </xf>
    <xf numFmtId="0" fontId="103" fillId="0" borderId="0" xfId="0" applyFont="1" applyFill="1" applyAlignment="1">
      <alignment/>
    </xf>
    <xf numFmtId="0" fontId="32" fillId="35" borderId="13" xfId="0" applyFont="1" applyFill="1" applyBorder="1" applyAlignment="1">
      <alignment/>
    </xf>
    <xf numFmtId="0" fontId="32" fillId="35" borderId="13" xfId="0" applyFont="1" applyFill="1" applyBorder="1" applyAlignment="1">
      <alignment horizontal="center"/>
    </xf>
    <xf numFmtId="4" fontId="33" fillId="0" borderId="13" xfId="0" applyNumberFormat="1" applyFont="1" applyBorder="1" applyAlignment="1">
      <alignment/>
    </xf>
    <xf numFmtId="4" fontId="32" fillId="0" borderId="13" xfId="0" applyNumberFormat="1" applyFont="1" applyBorder="1" applyAlignment="1">
      <alignment/>
    </xf>
    <xf numFmtId="0" fontId="33" fillId="0" borderId="0" xfId="0" applyFont="1" applyFill="1" applyAlignment="1">
      <alignment/>
    </xf>
    <xf numFmtId="0" fontId="103" fillId="0" borderId="0" xfId="0" applyFont="1" applyBorder="1" applyAlignment="1">
      <alignment/>
    </xf>
    <xf numFmtId="171" fontId="103" fillId="0" borderId="0" xfId="42" applyFont="1" applyAlignment="1">
      <alignment/>
    </xf>
    <xf numFmtId="0" fontId="32" fillId="32" borderId="0" xfId="0" applyFont="1" applyFill="1" applyBorder="1" applyAlignment="1">
      <alignment/>
    </xf>
    <xf numFmtId="0" fontId="103" fillId="0" borderId="0" xfId="0" applyFont="1" applyFill="1" applyBorder="1" applyAlignment="1">
      <alignment/>
    </xf>
    <xf numFmtId="0" fontId="32" fillId="0" borderId="0" xfId="0" applyFont="1" applyFill="1" applyBorder="1" applyAlignment="1">
      <alignment/>
    </xf>
    <xf numFmtId="171" fontId="32" fillId="32" borderId="0" xfId="42" applyFont="1" applyFill="1" applyBorder="1" applyAlignment="1">
      <alignment/>
    </xf>
    <xf numFmtId="171" fontId="103" fillId="0" borderId="0" xfId="42" applyFont="1" applyBorder="1" applyAlignment="1">
      <alignment/>
    </xf>
    <xf numFmtId="171" fontId="33" fillId="0" borderId="0" xfId="42" applyFont="1" applyFill="1" applyBorder="1" applyAlignment="1">
      <alignment/>
    </xf>
    <xf numFmtId="179" fontId="103" fillId="0" borderId="0" xfId="0" applyNumberFormat="1" applyFont="1" applyAlignment="1">
      <alignment/>
    </xf>
    <xf numFmtId="171" fontId="103" fillId="0" borderId="0" xfId="0" applyNumberFormat="1" applyFont="1" applyAlignment="1">
      <alignment/>
    </xf>
    <xf numFmtId="171" fontId="32" fillId="0" borderId="0" xfId="42" applyFont="1" applyFill="1" applyBorder="1" applyAlignment="1">
      <alignment/>
    </xf>
    <xf numFmtId="179" fontId="103" fillId="0" borderId="0" xfId="0" applyNumberFormat="1" applyFont="1" applyBorder="1" applyAlignment="1">
      <alignment/>
    </xf>
    <xf numFmtId="171" fontId="103" fillId="0" borderId="0" xfId="42" applyFont="1" applyFill="1" applyBorder="1" applyAlignment="1">
      <alignment/>
    </xf>
    <xf numFmtId="43" fontId="103" fillId="0" borderId="0" xfId="0" applyNumberFormat="1" applyFont="1" applyFill="1" applyBorder="1" applyAlignment="1">
      <alignment/>
    </xf>
    <xf numFmtId="0" fontId="104" fillId="0" borderId="0" xfId="0" applyFont="1" applyAlignment="1">
      <alignment/>
    </xf>
    <xf numFmtId="4" fontId="104" fillId="0" borderId="0" xfId="0" applyNumberFormat="1" applyFont="1" applyAlignment="1">
      <alignment/>
    </xf>
    <xf numFmtId="171" fontId="104" fillId="0" borderId="0" xfId="42" applyFont="1" applyBorder="1" applyAlignment="1">
      <alignment/>
    </xf>
    <xf numFmtId="0" fontId="28" fillId="33" borderId="31" xfId="0" applyFont="1" applyFill="1" applyBorder="1" applyAlignment="1">
      <alignment/>
    </xf>
    <xf numFmtId="0" fontId="28" fillId="33" borderId="32" xfId="0" applyFont="1" applyFill="1" applyBorder="1" applyAlignment="1">
      <alignment/>
    </xf>
    <xf numFmtId="179" fontId="28" fillId="33" borderId="32" xfId="0" applyNumberFormat="1" applyFont="1" applyFill="1" applyBorder="1" applyAlignment="1">
      <alignment/>
    </xf>
    <xf numFmtId="0" fontId="103" fillId="0" borderId="0" xfId="0" applyFont="1" applyAlignment="1">
      <alignment wrapText="1"/>
    </xf>
    <xf numFmtId="0" fontId="8" fillId="0" borderId="32" xfId="61" applyFont="1" applyFill="1" applyBorder="1" applyAlignment="1">
      <alignment vertical="center"/>
      <protection/>
    </xf>
    <xf numFmtId="0" fontId="8" fillId="0" borderId="25" xfId="61" applyFont="1" applyFill="1" applyBorder="1" applyAlignment="1">
      <alignment vertical="center"/>
      <protection/>
    </xf>
    <xf numFmtId="0" fontId="8" fillId="0" borderId="33" xfId="63" applyFont="1" applyFill="1" applyBorder="1" applyAlignment="1">
      <alignment vertical="center"/>
      <protection/>
    </xf>
    <xf numFmtId="0" fontId="8" fillId="0" borderId="34" xfId="61" applyFont="1" applyFill="1" applyBorder="1" applyAlignment="1">
      <alignment/>
      <protection/>
    </xf>
    <xf numFmtId="0" fontId="8" fillId="0" borderId="35" xfId="61" applyFont="1" applyFill="1" applyBorder="1">
      <alignment/>
      <protection/>
    </xf>
    <xf numFmtId="0" fontId="8" fillId="0" borderId="36" xfId="61" applyFont="1" applyBorder="1" applyAlignment="1">
      <alignment/>
      <protection/>
    </xf>
    <xf numFmtId="0" fontId="8" fillId="0" borderId="37" xfId="61" applyFont="1" applyBorder="1">
      <alignment/>
      <protection/>
    </xf>
    <xf numFmtId="0" fontId="14" fillId="0" borderId="36" xfId="63" applyFont="1" applyFill="1" applyBorder="1" applyAlignment="1">
      <alignment vertical="center"/>
      <protection/>
    </xf>
    <xf numFmtId="0" fontId="0" fillId="0" borderId="36" xfId="0" applyBorder="1" applyAlignment="1">
      <alignment/>
    </xf>
    <xf numFmtId="0" fontId="0" fillId="0" borderId="0" xfId="0" applyBorder="1" applyAlignment="1">
      <alignment/>
    </xf>
    <xf numFmtId="0" fontId="16" fillId="0" borderId="36" xfId="63" applyFont="1" applyFill="1" applyBorder="1" applyAlignment="1">
      <alignment vertical="center"/>
      <protection/>
    </xf>
    <xf numFmtId="0" fontId="19" fillId="0" borderId="38" xfId="63" applyFont="1" applyFill="1" applyBorder="1" applyAlignment="1">
      <alignment vertical="center"/>
      <protection/>
    </xf>
    <xf numFmtId="0" fontId="14" fillId="0" borderId="10" xfId="63" applyFont="1" applyFill="1" applyBorder="1" applyAlignment="1">
      <alignment vertical="center"/>
      <protection/>
    </xf>
    <xf numFmtId="0" fontId="19" fillId="0" borderId="10" xfId="63" applyFont="1" applyBorder="1">
      <alignment/>
      <protection/>
    </xf>
    <xf numFmtId="0" fontId="19" fillId="0" borderId="19" xfId="61" applyFont="1" applyBorder="1">
      <alignment/>
      <protection/>
    </xf>
    <xf numFmtId="43" fontId="27" fillId="0" borderId="27" xfId="0" applyNumberFormat="1" applyFont="1" applyBorder="1" applyAlignment="1">
      <alignment/>
    </xf>
    <xf numFmtId="171" fontId="100" fillId="0" borderId="0" xfId="42" applyFont="1" applyBorder="1" applyAlignment="1">
      <alignment/>
    </xf>
    <xf numFmtId="4" fontId="8" fillId="0" borderId="39" xfId="44" applyNumberFormat="1" applyFont="1" applyFill="1" applyBorder="1" applyAlignment="1">
      <alignment horizontal="right" vertical="center"/>
    </xf>
    <xf numFmtId="39" fontId="8" fillId="0" borderId="40" xfId="44" applyNumberFormat="1" applyFont="1" applyFill="1" applyBorder="1" applyAlignment="1">
      <alignment horizontal="right" vertical="center"/>
    </xf>
    <xf numFmtId="0" fontId="10" fillId="0" borderId="16" xfId="63" applyFont="1" applyBorder="1" applyAlignment="1">
      <alignment horizontal="left" vertical="center" wrapText="1"/>
      <protection/>
    </xf>
    <xf numFmtId="0" fontId="10" fillId="0" borderId="17" xfId="63" applyFont="1" applyFill="1" applyBorder="1" applyAlignment="1">
      <alignment horizontal="right" vertical="center"/>
      <protection/>
    </xf>
    <xf numFmtId="0" fontId="10" fillId="0" borderId="0" xfId="63" applyFont="1" applyFill="1" applyAlignment="1">
      <alignment horizontal="right" vertical="center"/>
      <protection/>
    </xf>
    <xf numFmtId="171" fontId="10" fillId="0" borderId="0" xfId="42" applyFont="1" applyFill="1" applyAlignment="1">
      <alignment horizontal="right" vertical="center"/>
    </xf>
    <xf numFmtId="0" fontId="98" fillId="0" borderId="0" xfId="0" applyFont="1" applyAlignment="1">
      <alignment/>
    </xf>
    <xf numFmtId="0" fontId="8" fillId="0" borderId="10" xfId="63" applyFont="1" applyBorder="1" applyAlignment="1">
      <alignment horizontal="left" vertical="center" wrapText="1"/>
      <protection/>
    </xf>
    <xf numFmtId="0" fontId="105" fillId="0" borderId="0" xfId="0" applyFont="1" applyAlignment="1">
      <alignment/>
    </xf>
    <xf numFmtId="171" fontId="105" fillId="0" borderId="0" xfId="42" applyFont="1" applyAlignment="1">
      <alignment/>
    </xf>
    <xf numFmtId="171" fontId="106" fillId="0" borderId="0" xfId="42" applyFont="1" applyAlignment="1">
      <alignment/>
    </xf>
    <xf numFmtId="171" fontId="106" fillId="36" borderId="0" xfId="42" applyFont="1" applyFill="1" applyAlignment="1">
      <alignment/>
    </xf>
    <xf numFmtId="0" fontId="107" fillId="37" borderId="0" xfId="0" applyFont="1" applyFill="1" applyAlignment="1">
      <alignment/>
    </xf>
    <xf numFmtId="171" fontId="107" fillId="37" borderId="0" xfId="42" applyFont="1" applyFill="1" applyAlignment="1">
      <alignment/>
    </xf>
    <xf numFmtId="0" fontId="105" fillId="37" borderId="0" xfId="0" applyFont="1" applyFill="1" applyAlignment="1">
      <alignment/>
    </xf>
    <xf numFmtId="0" fontId="105" fillId="0" borderId="0" xfId="0" applyFont="1" applyFill="1" applyAlignment="1">
      <alignment/>
    </xf>
    <xf numFmtId="171" fontId="106" fillId="0" borderId="0" xfId="42" applyFont="1" applyFill="1" applyAlignment="1">
      <alignment/>
    </xf>
    <xf numFmtId="0" fontId="105" fillId="0" borderId="0" xfId="0" applyFont="1" applyAlignment="1">
      <alignment horizontal="left"/>
    </xf>
    <xf numFmtId="4" fontId="8" fillId="32" borderId="41" xfId="44" applyNumberFormat="1" applyFont="1" applyFill="1" applyBorder="1" applyAlignment="1">
      <alignment horizontal="right" vertical="center"/>
    </xf>
    <xf numFmtId="4" fontId="8" fillId="32" borderId="21" xfId="44" applyNumberFormat="1" applyFont="1" applyFill="1" applyBorder="1" applyAlignment="1">
      <alignment horizontal="right" vertical="center"/>
    </xf>
    <xf numFmtId="0" fontId="10" fillId="0" borderId="42" xfId="63" applyFont="1" applyFill="1" applyBorder="1" applyAlignment="1">
      <alignment horizontal="right" vertical="center"/>
      <protection/>
    </xf>
    <xf numFmtId="0" fontId="8" fillId="0" borderId="10" xfId="63" applyFont="1" applyBorder="1" applyAlignment="1" quotePrefix="1">
      <alignment horizontal="left" vertical="center" wrapText="1"/>
      <protection/>
    </xf>
    <xf numFmtId="0" fontId="8" fillId="0" borderId="40" xfId="63" applyFont="1" applyBorder="1" applyAlignment="1">
      <alignment horizontal="right" vertical="center"/>
      <protection/>
    </xf>
    <xf numFmtId="0" fontId="8" fillId="0" borderId="41" xfId="63" applyFont="1" applyBorder="1" applyAlignment="1">
      <alignment horizontal="right" vertical="center"/>
      <protection/>
    </xf>
    <xf numFmtId="0" fontId="8" fillId="0" borderId="41" xfId="63" applyFont="1" applyFill="1" applyBorder="1" applyAlignment="1">
      <alignment horizontal="right" vertical="center"/>
      <protection/>
    </xf>
    <xf numFmtId="0" fontId="8" fillId="0" borderId="21" xfId="63" applyFont="1" applyFill="1" applyBorder="1" applyAlignment="1">
      <alignment horizontal="right" vertical="center"/>
      <protection/>
    </xf>
    <xf numFmtId="49" fontId="10" fillId="0" borderId="43" xfId="47" applyNumberFormat="1" applyFont="1" applyFill="1" applyBorder="1" applyAlignment="1">
      <alignment horizontal="center" vertical="center"/>
    </xf>
    <xf numFmtId="171" fontId="5" fillId="0" borderId="0" xfId="42" applyFont="1" applyFill="1" applyBorder="1" applyAlignment="1">
      <alignment horizontal="right"/>
    </xf>
    <xf numFmtId="171" fontId="8" fillId="0" borderId="0" xfId="42" applyFont="1" applyFill="1" applyAlignment="1">
      <alignment/>
    </xf>
    <xf numFmtId="171" fontId="11" fillId="0" borderId="0" xfId="42" applyFont="1" applyFill="1" applyBorder="1" applyAlignment="1">
      <alignment horizontal="centerContinuous"/>
    </xf>
    <xf numFmtId="171" fontId="10" fillId="0" borderId="0" xfId="42" applyFont="1" applyFill="1" applyBorder="1" applyAlignment="1">
      <alignment horizontal="centerContinuous"/>
    </xf>
    <xf numFmtId="171" fontId="29" fillId="0" borderId="39" xfId="42" applyFont="1" applyFill="1" applyBorder="1" applyAlignment="1">
      <alignment horizontal="center" vertical="center" wrapText="1"/>
    </xf>
    <xf numFmtId="171" fontId="10" fillId="0" borderId="23" xfId="42" applyFont="1" applyFill="1" applyBorder="1" applyAlignment="1">
      <alignment horizontal="right" vertical="center"/>
    </xf>
    <xf numFmtId="171" fontId="8" fillId="0" borderId="42" xfId="42" applyFont="1" applyFill="1" applyBorder="1" applyAlignment="1">
      <alignment horizontal="right" vertical="center"/>
    </xf>
    <xf numFmtId="171" fontId="8" fillId="0" borderId="21" xfId="42" applyFont="1" applyFill="1" applyBorder="1" applyAlignment="1">
      <alignment horizontal="right" vertical="center"/>
    </xf>
    <xf numFmtId="171" fontId="8" fillId="0" borderId="44" xfId="42" applyFont="1" applyFill="1" applyBorder="1" applyAlignment="1">
      <alignment horizontal="right" vertical="center"/>
    </xf>
    <xf numFmtId="171" fontId="8" fillId="0" borderId="45" xfId="42" applyFont="1" applyFill="1" applyBorder="1" applyAlignment="1">
      <alignment horizontal="right" vertical="center"/>
    </xf>
    <xf numFmtId="171" fontId="8" fillId="0" borderId="40" xfId="42" applyFont="1" applyFill="1" applyBorder="1" applyAlignment="1">
      <alignment horizontal="right" vertical="center"/>
    </xf>
    <xf numFmtId="171" fontId="8" fillId="0" borderId="39" xfId="42" applyFont="1" applyFill="1" applyBorder="1" applyAlignment="1">
      <alignment horizontal="right" vertical="center"/>
    </xf>
    <xf numFmtId="171" fontId="8" fillId="0" borderId="46" xfId="42" applyFont="1" applyFill="1" applyBorder="1" applyAlignment="1">
      <alignment horizontal="right" vertical="center"/>
    </xf>
    <xf numFmtId="171" fontId="8" fillId="0" borderId="47" xfId="42" applyFont="1" applyFill="1" applyBorder="1" applyAlignment="1">
      <alignment horizontal="right" vertical="center"/>
    </xf>
    <xf numFmtId="171" fontId="8" fillId="0" borderId="10" xfId="42" applyFont="1" applyFill="1" applyBorder="1" applyAlignment="1">
      <alignment/>
    </xf>
    <xf numFmtId="171" fontId="19" fillId="0" borderId="0" xfId="42" applyFont="1" applyFill="1" applyBorder="1" applyAlignment="1">
      <alignment horizontal="left"/>
    </xf>
    <xf numFmtId="171" fontId="19" fillId="0" borderId="11" xfId="42" applyFont="1" applyFill="1" applyBorder="1" applyAlignment="1">
      <alignment horizontal="left" vertical="center" wrapText="1"/>
    </xf>
    <xf numFmtId="171" fontId="8" fillId="0" borderId="0" xfId="42" applyFont="1" applyFill="1" applyBorder="1" applyAlignment="1">
      <alignment horizontal="left"/>
    </xf>
    <xf numFmtId="171" fontId="0" fillId="0" borderId="0" xfId="42" applyFont="1" applyFill="1" applyAlignment="1">
      <alignment/>
    </xf>
    <xf numFmtId="171" fontId="11" fillId="0" borderId="0" xfId="42" applyFont="1" applyBorder="1" applyAlignment="1">
      <alignment horizontal="centerContinuous"/>
    </xf>
    <xf numFmtId="171" fontId="10" fillId="0" borderId="0" xfId="42" applyFont="1" applyBorder="1" applyAlignment="1">
      <alignment horizontal="centerContinuous"/>
    </xf>
    <xf numFmtId="171" fontId="8" fillId="38" borderId="46" xfId="42" applyFont="1" applyFill="1" applyBorder="1" applyAlignment="1">
      <alignment horizontal="right" vertical="center"/>
    </xf>
    <xf numFmtId="171" fontId="8" fillId="38" borderId="21" xfId="42" applyFont="1" applyFill="1" applyBorder="1" applyAlignment="1">
      <alignment horizontal="right" vertical="center"/>
    </xf>
    <xf numFmtId="171" fontId="8" fillId="38" borderId="45" xfId="42" applyFont="1" applyFill="1" applyBorder="1" applyAlignment="1">
      <alignment horizontal="right" vertical="center"/>
    </xf>
    <xf numFmtId="171" fontId="8" fillId="38" borderId="40" xfId="42" applyFont="1" applyFill="1" applyBorder="1" applyAlignment="1">
      <alignment horizontal="right" vertical="center"/>
    </xf>
    <xf numFmtId="171" fontId="8" fillId="38" borderId="44" xfId="42" applyFont="1" applyFill="1" applyBorder="1" applyAlignment="1">
      <alignment horizontal="right" vertical="center"/>
    </xf>
    <xf numFmtId="171" fontId="10" fillId="38" borderId="23" xfId="42" applyFont="1" applyFill="1" applyBorder="1" applyAlignment="1">
      <alignment horizontal="right" vertical="center"/>
    </xf>
    <xf numFmtId="171" fontId="8" fillId="38" borderId="42" xfId="42" applyFont="1" applyFill="1" applyBorder="1" applyAlignment="1">
      <alignment horizontal="right" vertical="center"/>
    </xf>
    <xf numFmtId="171" fontId="8" fillId="38" borderId="48" xfId="42" applyFont="1" applyFill="1" applyBorder="1" applyAlignment="1">
      <alignment horizontal="right" vertical="center"/>
    </xf>
    <xf numFmtId="171" fontId="10" fillId="39" borderId="23" xfId="42" applyFont="1" applyFill="1" applyBorder="1" applyAlignment="1">
      <alignment horizontal="right" vertical="center"/>
    </xf>
    <xf numFmtId="171" fontId="8" fillId="0" borderId="0" xfId="42" applyFont="1" applyBorder="1" applyAlignment="1">
      <alignment/>
    </xf>
    <xf numFmtId="171" fontId="8" fillId="0" borderId="10" xfId="42" applyFont="1" applyBorder="1" applyAlignment="1">
      <alignment/>
    </xf>
    <xf numFmtId="171" fontId="19" fillId="0" borderId="0" xfId="42" applyFont="1" applyBorder="1" applyAlignment="1">
      <alignment horizontal="left"/>
    </xf>
    <xf numFmtId="171" fontId="19" fillId="0" borderId="11" xfId="42" applyFont="1" applyBorder="1" applyAlignment="1">
      <alignment horizontal="left" vertical="center" wrapText="1"/>
    </xf>
    <xf numFmtId="171" fontId="8" fillId="0" borderId="0" xfId="42" applyFont="1" applyBorder="1" applyAlignment="1">
      <alignment horizontal="left"/>
    </xf>
    <xf numFmtId="171" fontId="19" fillId="0" borderId="0" xfId="42" applyFont="1" applyBorder="1" applyAlignment="1">
      <alignment horizontal="center"/>
    </xf>
    <xf numFmtId="171" fontId="19" fillId="0" borderId="0" xfId="42" applyFont="1" applyBorder="1" applyAlignment="1">
      <alignment horizontal="center" vertical="center"/>
    </xf>
    <xf numFmtId="171" fontId="0" fillId="0" borderId="0" xfId="42" applyFont="1" applyAlignment="1">
      <alignment/>
    </xf>
    <xf numFmtId="171" fontId="7" fillId="0" borderId="0" xfId="42" applyFont="1" applyBorder="1" applyAlignment="1">
      <alignment horizontal="left"/>
    </xf>
    <xf numFmtId="171" fontId="8" fillId="38" borderId="49" xfId="42" applyFont="1" applyFill="1" applyBorder="1" applyAlignment="1">
      <alignment horizontal="center" vertical="center" wrapText="1"/>
    </xf>
    <xf numFmtId="171" fontId="14" fillId="38" borderId="50" xfId="42" applyFont="1" applyFill="1" applyBorder="1" applyAlignment="1">
      <alignment horizontal="center" vertical="center" wrapText="1"/>
    </xf>
    <xf numFmtId="171" fontId="16" fillId="38" borderId="50" xfId="42" applyFont="1" applyFill="1" applyBorder="1" applyAlignment="1">
      <alignment horizontal="center" vertical="center" wrapText="1"/>
    </xf>
    <xf numFmtId="171" fontId="8" fillId="38" borderId="32" xfId="42" applyFont="1" applyFill="1" applyBorder="1" applyAlignment="1">
      <alignment horizontal="right" vertical="center"/>
    </xf>
    <xf numFmtId="171" fontId="101" fillId="38" borderId="50" xfId="42" applyFont="1" applyFill="1" applyBorder="1" applyAlignment="1">
      <alignment horizontal="right" vertical="center"/>
    </xf>
    <xf numFmtId="171" fontId="8" fillId="38" borderId="50" xfId="42" applyFont="1" applyFill="1" applyBorder="1" applyAlignment="1">
      <alignment horizontal="right" vertical="center"/>
    </xf>
    <xf numFmtId="171" fontId="8" fillId="39" borderId="41" xfId="42" applyFont="1" applyFill="1" applyBorder="1" applyAlignment="1">
      <alignment horizontal="right" vertical="center"/>
    </xf>
    <xf numFmtId="171" fontId="19" fillId="0" borderId="0" xfId="42" applyFont="1" applyBorder="1" applyAlignment="1">
      <alignment horizontal="left" vertical="center"/>
    </xf>
    <xf numFmtId="171" fontId="19" fillId="0" borderId="0" xfId="42" applyFont="1" applyBorder="1" applyAlignment="1">
      <alignment vertical="center"/>
    </xf>
    <xf numFmtId="171" fontId="6" fillId="0" borderId="0" xfId="42" applyFont="1" applyAlignment="1">
      <alignment/>
    </xf>
    <xf numFmtId="171" fontId="8" fillId="38" borderId="51" xfId="42" applyFont="1" applyFill="1" applyBorder="1" applyAlignment="1">
      <alignment horizontal="right" vertical="center"/>
    </xf>
    <xf numFmtId="171" fontId="8" fillId="38" borderId="12" xfId="42" applyFont="1" applyFill="1" applyBorder="1" applyAlignment="1">
      <alignment horizontal="right" vertical="center"/>
    </xf>
    <xf numFmtId="171" fontId="8" fillId="0" borderId="0" xfId="42" applyFont="1" applyFill="1" applyBorder="1" applyAlignment="1">
      <alignment horizontal="right"/>
    </xf>
    <xf numFmtId="171" fontId="19" fillId="0" borderId="0" xfId="42" applyFont="1" applyAlignment="1">
      <alignment/>
    </xf>
    <xf numFmtId="171" fontId="8" fillId="0" borderId="46" xfId="42" applyFont="1" applyFill="1" applyBorder="1" applyAlignment="1">
      <alignment horizontal="center" vertical="center" wrapText="1"/>
    </xf>
    <xf numFmtId="171" fontId="16" fillId="0" borderId="22" xfId="42" applyFont="1" applyFill="1" applyBorder="1" applyAlignment="1">
      <alignment horizontal="center" vertical="center"/>
    </xf>
    <xf numFmtId="171" fontId="8" fillId="0" borderId="41" xfId="42" applyFont="1" applyFill="1" applyBorder="1" applyAlignment="1">
      <alignment horizontal="right" vertical="center"/>
    </xf>
    <xf numFmtId="171" fontId="8" fillId="0" borderId="22" xfId="42" applyFont="1" applyFill="1" applyBorder="1" applyAlignment="1">
      <alignment horizontal="right" vertical="center"/>
    </xf>
    <xf numFmtId="171" fontId="10" fillId="32" borderId="22" xfId="42" applyFont="1" applyFill="1" applyBorder="1" applyAlignment="1">
      <alignment horizontal="right" vertical="center"/>
    </xf>
    <xf numFmtId="171" fontId="10" fillId="0" borderId="10" xfId="42" applyFont="1" applyBorder="1" applyAlignment="1">
      <alignment horizontal="left"/>
    </xf>
    <xf numFmtId="171" fontId="8" fillId="0" borderId="14" xfId="42" applyFont="1" applyBorder="1" applyAlignment="1">
      <alignment vertical="top" wrapText="1"/>
    </xf>
    <xf numFmtId="171" fontId="8" fillId="0" borderId="13" xfId="42" applyFont="1" applyBorder="1" applyAlignment="1" quotePrefix="1">
      <alignment horizontal="right"/>
    </xf>
    <xf numFmtId="171" fontId="22" fillId="0" borderId="13" xfId="42" applyFont="1" applyBorder="1" applyAlignment="1">
      <alignment horizontal="right"/>
    </xf>
    <xf numFmtId="171" fontId="8" fillId="0" borderId="13" xfId="42" applyFont="1" applyBorder="1" applyAlignment="1">
      <alignment/>
    </xf>
    <xf numFmtId="171" fontId="8" fillId="0" borderId="52" xfId="42" applyFont="1" applyBorder="1" applyAlignment="1">
      <alignment/>
    </xf>
    <xf numFmtId="171" fontId="22" fillId="0" borderId="53" xfId="42" applyFont="1" applyBorder="1" applyAlignment="1">
      <alignment vertical="center"/>
    </xf>
    <xf numFmtId="171" fontId="19" fillId="0" borderId="0" xfId="42" applyFont="1" applyFill="1" applyBorder="1" applyAlignment="1">
      <alignment vertical="center"/>
    </xf>
    <xf numFmtId="171" fontId="12" fillId="0" borderId="0" xfId="42" applyFont="1" applyFill="1" applyBorder="1" applyAlignment="1">
      <alignment horizontal="left"/>
    </xf>
    <xf numFmtId="171" fontId="8" fillId="38" borderId="32" xfId="42" applyFont="1" applyFill="1" applyBorder="1" applyAlignment="1">
      <alignment horizontal="center" vertical="center" wrapText="1"/>
    </xf>
    <xf numFmtId="171" fontId="15" fillId="38" borderId="0" xfId="42" applyFont="1" applyFill="1" applyBorder="1" applyAlignment="1">
      <alignment horizontal="center" vertical="center" wrapText="1"/>
    </xf>
    <xf numFmtId="171" fontId="21" fillId="38" borderId="29" xfId="42" applyFont="1" applyFill="1" applyBorder="1" applyAlignment="1">
      <alignment horizontal="center" vertical="center"/>
    </xf>
    <xf numFmtId="171" fontId="8" fillId="38" borderId="39" xfId="42" applyFont="1" applyFill="1" applyBorder="1" applyAlignment="1">
      <alignment horizontal="right" vertical="center"/>
    </xf>
    <xf numFmtId="171" fontId="8" fillId="38" borderId="22" xfId="42" applyFont="1" applyFill="1" applyBorder="1" applyAlignment="1">
      <alignment horizontal="right" vertical="center"/>
    </xf>
    <xf numFmtId="171" fontId="8" fillId="38" borderId="47" xfId="42" applyFont="1" applyFill="1" applyBorder="1" applyAlignment="1">
      <alignment horizontal="right" vertical="center"/>
    </xf>
    <xf numFmtId="171" fontId="8" fillId="0" borderId="10" xfId="42" applyFont="1" applyBorder="1" applyAlignment="1">
      <alignment horizontal="left"/>
    </xf>
    <xf numFmtId="171" fontId="8" fillId="0" borderId="54" xfId="42" applyFont="1" applyFill="1" applyBorder="1" applyAlignment="1">
      <alignment vertical="top" wrapText="1"/>
    </xf>
    <xf numFmtId="171" fontId="8" fillId="0" borderId="20" xfId="42" applyFont="1" applyFill="1" applyBorder="1" applyAlignment="1" quotePrefix="1">
      <alignment horizontal="right"/>
    </xf>
    <xf numFmtId="171" fontId="22" fillId="0" borderId="20" xfId="42" applyFont="1" applyFill="1" applyBorder="1" applyAlignment="1" quotePrefix="1">
      <alignment horizontal="right"/>
    </xf>
    <xf numFmtId="171" fontId="8" fillId="0" borderId="20" xfId="42" applyFont="1" applyFill="1" applyBorder="1" applyAlignment="1">
      <alignment horizontal="center"/>
    </xf>
    <xf numFmtId="171" fontId="8" fillId="0" borderId="55" xfId="42" applyFont="1" applyFill="1" applyBorder="1" applyAlignment="1">
      <alignment horizontal="center"/>
    </xf>
    <xf numFmtId="171" fontId="8" fillId="0" borderId="56" xfId="42" applyFont="1" applyFill="1" applyBorder="1" applyAlignment="1">
      <alignment horizontal="center" vertical="center"/>
    </xf>
    <xf numFmtId="171" fontId="9" fillId="0" borderId="0" xfId="42" applyFont="1" applyBorder="1" applyAlignment="1">
      <alignment horizontal="left"/>
    </xf>
    <xf numFmtId="171" fontId="9" fillId="0" borderId="0" xfId="42" applyFont="1" applyAlignment="1">
      <alignment horizontal="left"/>
    </xf>
    <xf numFmtId="171" fontId="8" fillId="0" borderId="10" xfId="42" applyFont="1" applyFill="1" applyBorder="1" applyAlignment="1">
      <alignment horizontal="left"/>
    </xf>
    <xf numFmtId="171" fontId="19" fillId="0" borderId="0" xfId="42" applyFont="1" applyAlignment="1">
      <alignment horizontal="center"/>
    </xf>
    <xf numFmtId="171" fontId="8" fillId="0" borderId="0" xfId="42" applyFont="1" applyFill="1" applyBorder="1" applyAlignment="1">
      <alignment horizontal="center"/>
    </xf>
    <xf numFmtId="171" fontId="10" fillId="0" borderId="46" xfId="42" applyFont="1" applyFill="1" applyBorder="1" applyAlignment="1">
      <alignment horizontal="center" vertical="center"/>
    </xf>
    <xf numFmtId="171" fontId="10" fillId="0" borderId="23" xfId="42" applyFont="1" applyFill="1" applyBorder="1" applyAlignment="1">
      <alignment horizontal="center" vertical="center" wrapText="1"/>
    </xf>
    <xf numFmtId="15" fontId="29" fillId="0" borderId="26" xfId="63" applyNumberFormat="1"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16" fillId="0" borderId="26" xfId="63" applyFont="1" applyFill="1" applyBorder="1" applyAlignment="1" quotePrefix="1">
      <alignment horizontal="center" vertical="center"/>
      <protection/>
    </xf>
    <xf numFmtId="171" fontId="16" fillId="0" borderId="22" xfId="42" applyFont="1" applyFill="1" applyBorder="1" applyAlignment="1">
      <alignment horizontal="center" vertical="center" wrapText="1"/>
    </xf>
    <xf numFmtId="171" fontId="14" fillId="38" borderId="0" xfId="42" applyFont="1" applyFill="1" applyBorder="1" applyAlignment="1">
      <alignment horizontal="center" vertical="center" wrapText="1"/>
    </xf>
    <xf numFmtId="171" fontId="16" fillId="38" borderId="0" xfId="42" applyFont="1" applyFill="1" applyBorder="1" applyAlignment="1">
      <alignment horizontal="center" vertical="center"/>
    </xf>
    <xf numFmtId="171" fontId="8" fillId="38" borderId="46" xfId="42" applyFont="1" applyFill="1" applyBorder="1" applyAlignment="1">
      <alignment horizontal="center" vertical="center" wrapText="1"/>
    </xf>
    <xf numFmtId="171" fontId="14" fillId="38" borderId="39" xfId="42" applyFont="1" applyFill="1" applyBorder="1" applyAlignment="1">
      <alignment horizontal="center" vertical="center" wrapText="1"/>
    </xf>
    <xf numFmtId="171" fontId="16" fillId="38" borderId="22" xfId="42" applyFont="1" applyFill="1" applyBorder="1" applyAlignment="1">
      <alignment horizontal="center" vertical="center" wrapText="1"/>
    </xf>
    <xf numFmtId="171" fontId="16" fillId="38" borderId="22" xfId="42" applyFont="1" applyFill="1" applyBorder="1" applyAlignment="1">
      <alignment horizontal="center" vertical="center"/>
    </xf>
    <xf numFmtId="49" fontId="8" fillId="0" borderId="40" xfId="63" applyNumberFormat="1" applyFont="1" applyFill="1" applyBorder="1" applyAlignment="1">
      <alignment horizontal="center" vertical="center" wrapText="1"/>
      <protection/>
    </xf>
    <xf numFmtId="49" fontId="8" fillId="0" borderId="41" xfId="63" applyNumberFormat="1" applyFont="1" applyFill="1" applyBorder="1" applyAlignment="1">
      <alignment horizontal="center" vertical="center" wrapText="1"/>
      <protection/>
    </xf>
    <xf numFmtId="49" fontId="8" fillId="0" borderId="41" xfId="47" applyNumberFormat="1" applyFont="1" applyFill="1" applyBorder="1" applyAlignment="1">
      <alignment horizontal="center" vertical="center"/>
    </xf>
    <xf numFmtId="49" fontId="8" fillId="0" borderId="21" xfId="47" applyNumberFormat="1" applyFont="1" applyFill="1" applyBorder="1" applyAlignment="1">
      <alignment horizontal="center" vertical="center"/>
    </xf>
    <xf numFmtId="49" fontId="8" fillId="0" borderId="47" xfId="47" applyNumberFormat="1" applyFont="1" applyFill="1" applyBorder="1" applyAlignment="1">
      <alignment horizontal="center" vertical="center"/>
    </xf>
    <xf numFmtId="171" fontId="8" fillId="38" borderId="57" xfId="42" applyFont="1" applyFill="1" applyBorder="1" applyAlignment="1">
      <alignment horizontal="right" vertical="center"/>
    </xf>
    <xf numFmtId="171" fontId="8" fillId="38" borderId="58" xfId="42" applyFont="1" applyFill="1" applyBorder="1" applyAlignment="1">
      <alignment horizontal="right" vertical="center"/>
    </xf>
    <xf numFmtId="0" fontId="8" fillId="0" borderId="59" xfId="63" applyFont="1" applyBorder="1" applyAlignment="1">
      <alignment horizontal="left" vertical="center" wrapText="1"/>
      <protection/>
    </xf>
    <xf numFmtId="0" fontId="8" fillId="0" borderId="40" xfId="63" applyFont="1" applyBorder="1" applyAlignment="1">
      <alignment horizontal="left" vertical="center" wrapText="1"/>
      <protection/>
    </xf>
    <xf numFmtId="0" fontId="8" fillId="0" borderId="41" xfId="63" applyFont="1" applyBorder="1" applyAlignment="1">
      <alignment horizontal="left" vertical="center" wrapText="1"/>
      <protection/>
    </xf>
    <xf numFmtId="0" fontId="8" fillId="0" borderId="60" xfId="63" applyFont="1" applyFill="1" applyBorder="1" applyAlignment="1">
      <alignment horizontal="right" vertical="center"/>
      <protection/>
    </xf>
    <xf numFmtId="0" fontId="8" fillId="0" borderId="40" xfId="63" applyFont="1" applyFill="1" applyBorder="1" applyAlignment="1" quotePrefix="1">
      <alignment horizontal="right" vertical="center"/>
      <protection/>
    </xf>
    <xf numFmtId="0" fontId="8" fillId="0" borderId="22" xfId="63" applyFont="1" applyFill="1" applyBorder="1" applyAlignment="1">
      <alignment horizontal="right" vertical="center"/>
      <protection/>
    </xf>
    <xf numFmtId="49" fontId="8" fillId="0" borderId="49" xfId="47" applyNumberFormat="1" applyFont="1" applyFill="1" applyBorder="1" applyAlignment="1">
      <alignment horizontal="center" vertical="center"/>
    </xf>
    <xf numFmtId="49" fontId="8" fillId="0" borderId="40" xfId="47" applyNumberFormat="1" applyFont="1" applyFill="1" applyBorder="1" applyAlignment="1">
      <alignment horizontal="center" vertical="center"/>
    </xf>
    <xf numFmtId="49" fontId="8" fillId="0" borderId="22" xfId="47" applyNumberFormat="1" applyFont="1" applyFill="1" applyBorder="1" applyAlignment="1">
      <alignment horizontal="center" vertical="center"/>
    </xf>
    <xf numFmtId="0" fontId="34" fillId="0" borderId="0" xfId="63" applyFont="1" applyBorder="1">
      <alignment/>
      <protection/>
    </xf>
    <xf numFmtId="0" fontId="6" fillId="0" borderId="0" xfId="63" applyFont="1">
      <alignment/>
      <protection/>
    </xf>
    <xf numFmtId="0" fontId="6" fillId="0" borderId="0" xfId="63" applyFont="1" applyBorder="1" applyAlignment="1">
      <alignment horizontal="left"/>
      <protection/>
    </xf>
    <xf numFmtId="171" fontId="6" fillId="0" borderId="0" xfId="42" applyFont="1" applyFill="1" applyAlignment="1">
      <alignment/>
    </xf>
    <xf numFmtId="0" fontId="6" fillId="0" borderId="0" xfId="63" applyFont="1" applyBorder="1">
      <alignment/>
      <protection/>
    </xf>
    <xf numFmtId="171" fontId="7" fillId="0" borderId="0" xfId="42" applyFont="1" applyFill="1" applyBorder="1" applyAlignment="1">
      <alignment horizontal="left"/>
    </xf>
    <xf numFmtId="0" fontId="8" fillId="0" borderId="47" xfId="63" applyFont="1" applyFill="1" applyBorder="1" applyAlignment="1" quotePrefix="1">
      <alignment horizontal="right" vertical="center"/>
      <protection/>
    </xf>
    <xf numFmtId="4" fontId="33" fillId="0" borderId="14" xfId="0" applyNumberFormat="1" applyFont="1" applyFill="1" applyBorder="1" applyAlignment="1">
      <alignment/>
    </xf>
    <xf numFmtId="171" fontId="103" fillId="0" borderId="0" xfId="42" applyFont="1" applyFill="1" applyAlignment="1">
      <alignment/>
    </xf>
    <xf numFmtId="171" fontId="33" fillId="0" borderId="14" xfId="42" applyFont="1" applyFill="1" applyBorder="1" applyAlignment="1">
      <alignment/>
    </xf>
    <xf numFmtId="171" fontId="104" fillId="0" borderId="0" xfId="42" applyFont="1" applyAlignment="1">
      <alignment/>
    </xf>
    <xf numFmtId="171" fontId="108" fillId="0" borderId="0" xfId="42" applyFont="1" applyFill="1" applyBorder="1" applyAlignment="1">
      <alignment/>
    </xf>
    <xf numFmtId="171" fontId="103" fillId="0" borderId="0" xfId="42" applyFont="1" applyAlignment="1">
      <alignment wrapText="1"/>
    </xf>
    <xf numFmtId="0" fontId="32" fillId="35" borderId="13" xfId="42" applyNumberFormat="1" applyFont="1" applyFill="1" applyBorder="1" applyAlignment="1">
      <alignment horizontal="center"/>
    </xf>
    <xf numFmtId="171" fontId="35" fillId="0" borderId="13" xfId="42" applyFont="1" applyBorder="1" applyAlignment="1">
      <alignment vertical="center" wrapText="1"/>
    </xf>
    <xf numFmtId="171" fontId="35" fillId="0" borderId="13" xfId="42" applyFont="1" applyFill="1" applyBorder="1" applyAlignment="1">
      <alignment wrapText="1"/>
    </xf>
    <xf numFmtId="0" fontId="108" fillId="0" borderId="0" xfId="0" applyFont="1" applyAlignment="1">
      <alignment/>
    </xf>
    <xf numFmtId="0" fontId="108" fillId="0" borderId="0" xfId="0" applyFont="1" applyFill="1" applyAlignment="1">
      <alignment/>
    </xf>
    <xf numFmtId="4" fontId="32" fillId="40" borderId="52" xfId="0" applyNumberFormat="1" applyFont="1" applyFill="1" applyBorder="1" applyAlignment="1">
      <alignment/>
    </xf>
    <xf numFmtId="0" fontId="32" fillId="40" borderId="52" xfId="42" applyNumberFormat="1" applyFont="1" applyFill="1" applyBorder="1" applyAlignment="1">
      <alignment/>
    </xf>
    <xf numFmtId="0" fontId="32" fillId="40" borderId="13" xfId="42" applyNumberFormat="1" applyFont="1" applyFill="1" applyBorder="1" applyAlignment="1">
      <alignment/>
    </xf>
    <xf numFmtId="4" fontId="33" fillId="0" borderId="45" xfId="0" applyNumberFormat="1" applyFont="1" applyFill="1" applyBorder="1" applyAlignment="1">
      <alignment wrapText="1"/>
    </xf>
    <xf numFmtId="4" fontId="33" fillId="0" borderId="45" xfId="0" applyNumberFormat="1" applyFont="1" applyFill="1" applyBorder="1" applyAlignment="1">
      <alignment/>
    </xf>
    <xf numFmtId="171" fontId="33" fillId="0" borderId="45" xfId="42" applyFont="1" applyFill="1" applyBorder="1" applyAlignment="1">
      <alignment/>
    </xf>
    <xf numFmtId="4" fontId="32" fillId="0" borderId="61" xfId="0" applyNumberFormat="1" applyFont="1" applyBorder="1" applyAlignment="1">
      <alignment wrapText="1"/>
    </xf>
    <xf numFmtId="4" fontId="32" fillId="0" borderId="45" xfId="0" applyNumberFormat="1" applyFont="1" applyFill="1" applyBorder="1" applyAlignment="1">
      <alignment/>
    </xf>
    <xf numFmtId="171" fontId="32" fillId="0" borderId="45" xfId="42" applyFont="1" applyFill="1" applyBorder="1" applyAlignment="1">
      <alignment/>
    </xf>
    <xf numFmtId="171" fontId="32" fillId="0" borderId="14" xfId="42" applyFont="1" applyFill="1" applyBorder="1" applyAlignment="1">
      <alignment/>
    </xf>
    <xf numFmtId="4" fontId="32" fillId="0" borderId="14" xfId="0" applyNumberFormat="1" applyFont="1" applyFill="1" applyBorder="1" applyAlignment="1">
      <alignment/>
    </xf>
    <xf numFmtId="0" fontId="108" fillId="40" borderId="13" xfId="0" applyFont="1" applyFill="1" applyBorder="1" applyAlignment="1">
      <alignment/>
    </xf>
    <xf numFmtId="0" fontId="32" fillId="40" borderId="61" xfId="42" applyNumberFormat="1" applyFont="1" applyFill="1" applyBorder="1" applyAlignment="1">
      <alignment/>
    </xf>
    <xf numFmtId="4" fontId="33" fillId="0" borderId="38" xfId="0" applyNumberFormat="1" applyFont="1" applyFill="1" applyBorder="1" applyAlignment="1">
      <alignment/>
    </xf>
    <xf numFmtId="4" fontId="37" fillId="0" borderId="61" xfId="0" applyNumberFormat="1" applyFont="1" applyBorder="1" applyAlignment="1">
      <alignment/>
    </xf>
    <xf numFmtId="0" fontId="103" fillId="0" borderId="14" xfId="0" applyFont="1" applyBorder="1" applyAlignment="1">
      <alignment/>
    </xf>
    <xf numFmtId="4" fontId="33" fillId="0" borderId="36" xfId="0" applyNumberFormat="1" applyFont="1" applyFill="1" applyBorder="1" applyAlignment="1">
      <alignment/>
    </xf>
    <xf numFmtId="0" fontId="103" fillId="0" borderId="14" xfId="0" applyFont="1" applyFill="1" applyBorder="1" applyAlignment="1">
      <alignment/>
    </xf>
    <xf numFmtId="0" fontId="100" fillId="0" borderId="0" xfId="0" applyFont="1" applyBorder="1" applyAlignment="1">
      <alignment/>
    </xf>
    <xf numFmtId="179" fontId="28" fillId="34" borderId="23" xfId="0" applyNumberFormat="1" applyFont="1" applyFill="1" applyBorder="1" applyAlignment="1">
      <alignment/>
    </xf>
    <xf numFmtId="171" fontId="10" fillId="0" borderId="0" xfId="42" applyFont="1" applyFill="1" applyBorder="1" applyAlignment="1">
      <alignment horizontal="right" vertical="center"/>
    </xf>
    <xf numFmtId="9" fontId="109" fillId="0" borderId="0" xfId="66" applyNumberFormat="1" applyFont="1" applyAlignment="1">
      <alignment/>
    </xf>
    <xf numFmtId="0" fontId="32" fillId="0" borderId="0" xfId="0" applyFont="1" applyFill="1" applyAlignment="1">
      <alignment/>
    </xf>
    <xf numFmtId="9" fontId="108" fillId="0" borderId="0" xfId="0" applyNumberFormat="1" applyFont="1" applyAlignment="1">
      <alignment/>
    </xf>
    <xf numFmtId="171" fontId="110" fillId="40" borderId="0" xfId="42" applyFont="1" applyFill="1" applyAlignment="1">
      <alignment/>
    </xf>
    <xf numFmtId="171" fontId="67" fillId="0" borderId="13" xfId="42" applyFont="1" applyFill="1" applyBorder="1" applyAlignment="1">
      <alignment/>
    </xf>
    <xf numFmtId="0" fontId="67" fillId="33" borderId="13" xfId="0" applyFont="1" applyFill="1" applyBorder="1" applyAlignment="1">
      <alignment/>
    </xf>
    <xf numFmtId="179" fontId="25" fillId="33" borderId="13" xfId="44" applyFont="1" applyFill="1" applyBorder="1" applyAlignment="1">
      <alignment/>
    </xf>
    <xf numFmtId="171" fontId="8" fillId="38" borderId="62" xfId="42" applyFont="1" applyFill="1" applyBorder="1" applyAlignment="1">
      <alignment horizontal="right" vertical="center"/>
    </xf>
    <xf numFmtId="4" fontId="38" fillId="0" borderId="16" xfId="0" applyNumberFormat="1" applyFont="1" applyFill="1" applyBorder="1" applyAlignment="1">
      <alignment/>
    </xf>
    <xf numFmtId="0" fontId="111" fillId="0" borderId="0" xfId="0" applyFont="1" applyAlignment="1">
      <alignment/>
    </xf>
    <xf numFmtId="171" fontId="112" fillId="0" borderId="0" xfId="42" applyFont="1" applyAlignment="1">
      <alignment/>
    </xf>
    <xf numFmtId="4" fontId="39" fillId="4" borderId="13" xfId="0" applyNumberFormat="1" applyFont="1" applyFill="1" applyBorder="1" applyAlignment="1">
      <alignment/>
    </xf>
    <xf numFmtId="171" fontId="39" fillId="0" borderId="16" xfId="42" applyFont="1" applyFill="1" applyBorder="1" applyAlignment="1">
      <alignment/>
    </xf>
    <xf numFmtId="171" fontId="39" fillId="0" borderId="23" xfId="42" applyFont="1" applyFill="1" applyBorder="1" applyAlignment="1">
      <alignment/>
    </xf>
    <xf numFmtId="171" fontId="39" fillId="0" borderId="63" xfId="42" applyFont="1" applyFill="1" applyBorder="1" applyAlignment="1">
      <alignment/>
    </xf>
    <xf numFmtId="171" fontId="39" fillId="0" borderId="18" xfId="42" applyFont="1" applyFill="1" applyBorder="1" applyAlignment="1">
      <alignment/>
    </xf>
    <xf numFmtId="171" fontId="36" fillId="0" borderId="64" xfId="42" applyFont="1" applyFill="1" applyBorder="1" applyAlignment="1">
      <alignment horizontal="center"/>
    </xf>
    <xf numFmtId="171" fontId="36" fillId="0" borderId="13" xfId="42" applyFont="1" applyFill="1" applyBorder="1" applyAlignment="1">
      <alignment horizontal="center"/>
    </xf>
    <xf numFmtId="171" fontId="36" fillId="0" borderId="61" xfId="42" applyFont="1" applyFill="1" applyBorder="1" applyAlignment="1">
      <alignment horizontal="center"/>
    </xf>
    <xf numFmtId="171" fontId="113" fillId="0" borderId="13" xfId="42" applyFont="1" applyFill="1" applyBorder="1" applyAlignment="1">
      <alignment/>
    </xf>
    <xf numFmtId="171" fontId="36" fillId="0" borderId="64" xfId="42" applyFont="1" applyFill="1" applyBorder="1" applyAlignment="1">
      <alignment/>
    </xf>
    <xf numFmtId="171" fontId="36" fillId="0" borderId="13" xfId="42" applyFont="1" applyFill="1" applyBorder="1" applyAlignment="1">
      <alignment/>
    </xf>
    <xf numFmtId="171" fontId="36" fillId="0" borderId="61" xfId="42" applyFont="1" applyFill="1" applyBorder="1" applyAlignment="1">
      <alignment/>
    </xf>
    <xf numFmtId="171" fontId="113" fillId="0" borderId="13" xfId="42" applyFont="1" applyBorder="1" applyAlignment="1">
      <alignment/>
    </xf>
    <xf numFmtId="171" fontId="111" fillId="0" borderId="13" xfId="42" applyFont="1" applyBorder="1" applyAlignment="1">
      <alignment/>
    </xf>
    <xf numFmtId="171" fontId="36" fillId="0" borderId="13" xfId="42" applyFont="1" applyFill="1" applyBorder="1" applyAlignment="1">
      <alignment wrapText="1"/>
    </xf>
    <xf numFmtId="171" fontId="38" fillId="0" borderId="64" xfId="42" applyFont="1" applyFill="1" applyBorder="1" applyAlignment="1">
      <alignment/>
    </xf>
    <xf numFmtId="171" fontId="38" fillId="0" borderId="13" xfId="42" applyFont="1" applyFill="1" applyBorder="1" applyAlignment="1">
      <alignment/>
    </xf>
    <xf numFmtId="0" fontId="40" fillId="0" borderId="13" xfId="0" applyFont="1" applyFill="1" applyBorder="1" applyAlignment="1">
      <alignment/>
    </xf>
    <xf numFmtId="0" fontId="36" fillId="0" borderId="58" xfId="63" applyFont="1" applyFill="1" applyBorder="1" applyAlignment="1">
      <alignment wrapText="1"/>
      <protection/>
    </xf>
    <xf numFmtId="0" fontId="114" fillId="0" borderId="0" xfId="0" applyFont="1" applyAlignment="1">
      <alignment/>
    </xf>
    <xf numFmtId="4" fontId="112" fillId="0" borderId="23" xfId="0" applyNumberFormat="1" applyFont="1" applyBorder="1" applyAlignment="1">
      <alignment/>
    </xf>
    <xf numFmtId="171" fontId="38" fillId="0" borderId="65" xfId="42" applyFont="1" applyBorder="1" applyAlignment="1">
      <alignment vertical="center" wrapText="1"/>
    </xf>
    <xf numFmtId="171" fontId="112" fillId="0" borderId="23" xfId="42" applyFont="1" applyBorder="1" applyAlignment="1">
      <alignment/>
    </xf>
    <xf numFmtId="4" fontId="39" fillId="4" borderId="61" xfId="0" applyNumberFormat="1" applyFont="1" applyFill="1" applyBorder="1" applyAlignment="1">
      <alignment/>
    </xf>
    <xf numFmtId="4" fontId="112" fillId="0" borderId="23" xfId="0" applyNumberFormat="1" applyFont="1" applyBorder="1" applyAlignment="1">
      <alignment/>
    </xf>
    <xf numFmtId="171" fontId="112" fillId="0" borderId="23" xfId="0" applyNumberFormat="1" applyFont="1" applyBorder="1" applyAlignment="1">
      <alignment/>
    </xf>
    <xf numFmtId="0" fontId="114" fillId="0" borderId="0" xfId="0" applyFont="1" applyAlignment="1">
      <alignment/>
    </xf>
    <xf numFmtId="179" fontId="108" fillId="0" borderId="0" xfId="0" applyNumberFormat="1" applyFont="1" applyAlignment="1">
      <alignment/>
    </xf>
    <xf numFmtId="171" fontId="72" fillId="0" borderId="0" xfId="42" applyFont="1" applyAlignment="1">
      <alignment/>
    </xf>
    <xf numFmtId="0" fontId="115" fillId="0" borderId="0" xfId="0" applyFont="1" applyAlignment="1">
      <alignment/>
    </xf>
    <xf numFmtId="171" fontId="107" fillId="0" borderId="0" xfId="42" applyFont="1" applyFill="1" applyAlignment="1">
      <alignment/>
    </xf>
    <xf numFmtId="171" fontId="107" fillId="0" borderId="0" xfId="42" applyFont="1" applyAlignment="1">
      <alignment/>
    </xf>
    <xf numFmtId="0" fontId="27" fillId="0" borderId="0" xfId="42" applyNumberFormat="1" applyFont="1" applyAlignment="1">
      <alignment/>
    </xf>
    <xf numFmtId="179" fontId="100" fillId="0" borderId="0" xfId="0" applyNumberFormat="1" applyFont="1" applyAlignment="1">
      <alignment/>
    </xf>
    <xf numFmtId="0" fontId="0" fillId="0" borderId="0" xfId="0" applyAlignment="1">
      <alignment/>
    </xf>
    <xf numFmtId="43" fontId="27" fillId="0" borderId="0" xfId="0" applyNumberFormat="1" applyFont="1" applyBorder="1" applyAlignment="1">
      <alignment/>
    </xf>
    <xf numFmtId="0" fontId="28" fillId="34" borderId="0" xfId="0" applyFont="1" applyFill="1" applyBorder="1" applyAlignment="1">
      <alignment/>
    </xf>
    <xf numFmtId="43" fontId="28" fillId="34" borderId="0" xfId="0" applyNumberFormat="1" applyFont="1" applyFill="1" applyBorder="1" applyAlignment="1">
      <alignment/>
    </xf>
    <xf numFmtId="43" fontId="28" fillId="0" borderId="0" xfId="0" applyNumberFormat="1" applyFont="1" applyBorder="1" applyAlignment="1">
      <alignment/>
    </xf>
    <xf numFmtId="43" fontId="100" fillId="0" borderId="0" xfId="0" applyNumberFormat="1" applyFont="1" applyFill="1" applyAlignment="1">
      <alignment/>
    </xf>
    <xf numFmtId="43" fontId="30" fillId="0" borderId="0" xfId="0" applyNumberFormat="1" applyFont="1" applyAlignment="1">
      <alignment/>
    </xf>
    <xf numFmtId="43" fontId="28" fillId="0" borderId="0" xfId="0" applyNumberFormat="1" applyFont="1" applyAlignment="1">
      <alignment/>
    </xf>
    <xf numFmtId="171" fontId="27" fillId="0" borderId="0" xfId="46" applyFont="1" applyBorder="1" applyAlignment="1">
      <alignment/>
    </xf>
    <xf numFmtId="15" fontId="28" fillId="0" borderId="0" xfId="0" applyNumberFormat="1" applyFont="1" applyBorder="1" applyAlignment="1">
      <alignment/>
    </xf>
    <xf numFmtId="0" fontId="27" fillId="0" borderId="34" xfId="0" applyFont="1" applyBorder="1" applyAlignment="1">
      <alignment/>
    </xf>
    <xf numFmtId="0" fontId="27" fillId="33" borderId="33" xfId="0" applyFont="1" applyFill="1" applyBorder="1" applyAlignment="1">
      <alignment/>
    </xf>
    <xf numFmtId="0" fontId="27" fillId="33" borderId="34" xfId="0" applyFont="1" applyFill="1" applyBorder="1" applyAlignment="1">
      <alignment/>
    </xf>
    <xf numFmtId="43" fontId="27" fillId="33" borderId="34" xfId="0" applyNumberFormat="1" applyFont="1" applyFill="1" applyBorder="1" applyAlignment="1">
      <alignment/>
    </xf>
    <xf numFmtId="0" fontId="27" fillId="33" borderId="35" xfId="0" applyFont="1" applyFill="1" applyBorder="1" applyAlignment="1">
      <alignment/>
    </xf>
    <xf numFmtId="0" fontId="27" fillId="0" borderId="36" xfId="0" applyFont="1" applyBorder="1" applyAlignment="1">
      <alignment/>
    </xf>
    <xf numFmtId="0" fontId="27" fillId="0" borderId="37" xfId="0" applyFont="1" applyBorder="1" applyAlignment="1">
      <alignment/>
    </xf>
    <xf numFmtId="14" fontId="28" fillId="34" borderId="36" xfId="0" applyNumberFormat="1" applyFont="1" applyFill="1" applyBorder="1" applyAlignment="1">
      <alignment/>
    </xf>
    <xf numFmtId="0" fontId="28" fillId="34" borderId="37" xfId="0" applyFont="1" applyFill="1" applyBorder="1" applyAlignment="1">
      <alignment/>
    </xf>
    <xf numFmtId="43" fontId="27" fillId="0" borderId="37" xfId="0" applyNumberFormat="1" applyFont="1" applyBorder="1" applyAlignment="1">
      <alignment/>
    </xf>
    <xf numFmtId="0" fontId="27" fillId="0" borderId="37" xfId="0" applyFont="1" applyFill="1" applyBorder="1" applyAlignment="1">
      <alignment/>
    </xf>
    <xf numFmtId="15" fontId="27" fillId="0" borderId="33" xfId="0" applyNumberFormat="1" applyFont="1" applyBorder="1" applyAlignment="1">
      <alignment/>
    </xf>
    <xf numFmtId="15" fontId="27" fillId="0" borderId="36" xfId="0" applyNumberFormat="1" applyFont="1" applyBorder="1" applyAlignment="1">
      <alignment/>
    </xf>
    <xf numFmtId="0" fontId="27" fillId="0" borderId="38" xfId="0" applyFont="1" applyBorder="1" applyAlignment="1">
      <alignment/>
    </xf>
    <xf numFmtId="0" fontId="27" fillId="0" borderId="10" xfId="0" applyFont="1" applyBorder="1" applyAlignment="1">
      <alignment/>
    </xf>
    <xf numFmtId="43" fontId="27" fillId="0" borderId="10" xfId="0" applyNumberFormat="1" applyFont="1" applyBorder="1" applyAlignment="1">
      <alignment/>
    </xf>
    <xf numFmtId="0" fontId="27" fillId="0" borderId="19" xfId="0" applyFont="1" applyBorder="1" applyAlignment="1">
      <alignment/>
    </xf>
    <xf numFmtId="0" fontId="27" fillId="0" borderId="66" xfId="0" applyFont="1" applyBorder="1" applyAlignment="1">
      <alignment/>
    </xf>
    <xf numFmtId="43" fontId="28" fillId="34" borderId="67" xfId="0" applyNumberFormat="1" applyFont="1" applyFill="1" applyBorder="1" applyAlignment="1">
      <alignment/>
    </xf>
    <xf numFmtId="43" fontId="28" fillId="0" borderId="0" xfId="0" applyNumberFormat="1" applyFont="1" applyFill="1" applyBorder="1" applyAlignment="1">
      <alignment/>
    </xf>
    <xf numFmtId="43" fontId="28" fillId="0" borderId="34" xfId="0" applyNumberFormat="1" applyFont="1" applyFill="1" applyBorder="1" applyAlignment="1">
      <alignment/>
    </xf>
    <xf numFmtId="43" fontId="107" fillId="41" borderId="23" xfId="0" applyNumberFormat="1" applyFont="1" applyFill="1" applyBorder="1" applyAlignment="1">
      <alignment/>
    </xf>
    <xf numFmtId="171" fontId="107" fillId="42" borderId="0" xfId="42" applyFont="1" applyFill="1" applyAlignment="1">
      <alignment/>
    </xf>
    <xf numFmtId="171" fontId="74" fillId="0" borderId="0" xfId="42" applyFont="1" applyFill="1" applyAlignment="1">
      <alignment/>
    </xf>
    <xf numFmtId="49" fontId="8" fillId="0" borderId="39" xfId="47" applyNumberFormat="1" applyFont="1" applyFill="1" applyBorder="1" applyAlignment="1">
      <alignment horizontal="center" vertical="center"/>
    </xf>
    <xf numFmtId="171" fontId="8" fillId="38" borderId="0" xfId="42" applyFont="1" applyFill="1" applyBorder="1" applyAlignment="1">
      <alignment horizontal="right" vertical="center"/>
    </xf>
    <xf numFmtId="0" fontId="8" fillId="0" borderId="22" xfId="63" applyFont="1" applyBorder="1" applyAlignment="1" quotePrefix="1">
      <alignment horizontal="left" vertical="center" wrapText="1"/>
      <protection/>
    </xf>
    <xf numFmtId="4" fontId="8" fillId="0" borderId="62" xfId="44" applyNumberFormat="1" applyFont="1" applyFill="1" applyBorder="1" applyAlignment="1">
      <alignment horizontal="right" vertical="center"/>
    </xf>
    <xf numFmtId="171" fontId="8" fillId="38" borderId="68" xfId="42" applyFont="1" applyFill="1" applyBorder="1" applyAlignment="1">
      <alignment horizontal="right" vertical="center"/>
    </xf>
    <xf numFmtId="171" fontId="8" fillId="39" borderId="10" xfId="42" applyFont="1" applyFill="1" applyBorder="1" applyAlignment="1">
      <alignment horizontal="right" vertical="center"/>
    </xf>
    <xf numFmtId="4" fontId="8" fillId="0" borderId="57" xfId="44" applyNumberFormat="1" applyFont="1" applyFill="1" applyBorder="1" applyAlignment="1">
      <alignment horizontal="right" vertical="center"/>
    </xf>
    <xf numFmtId="4" fontId="8" fillId="0" borderId="58" xfId="44" applyNumberFormat="1" applyFont="1" applyFill="1" applyBorder="1" applyAlignment="1">
      <alignment horizontal="right" vertical="center"/>
    </xf>
    <xf numFmtId="4" fontId="8" fillId="0" borderId="69" xfId="44" applyNumberFormat="1" applyFont="1" applyFill="1" applyBorder="1" applyAlignment="1">
      <alignment horizontal="right" vertical="center"/>
    </xf>
    <xf numFmtId="171" fontId="8" fillId="38" borderId="29" xfId="42" applyFont="1" applyFill="1" applyBorder="1" applyAlignment="1">
      <alignment horizontal="right" vertical="center"/>
    </xf>
    <xf numFmtId="171" fontId="8" fillId="38" borderId="70" xfId="42" applyFont="1" applyFill="1" applyBorder="1" applyAlignment="1">
      <alignment horizontal="right" vertical="center"/>
    </xf>
    <xf numFmtId="171" fontId="8" fillId="38" borderId="71" xfId="42" applyFont="1" applyFill="1" applyBorder="1" applyAlignment="1">
      <alignment horizontal="right" vertical="center"/>
    </xf>
    <xf numFmtId="171" fontId="10" fillId="38" borderId="22" xfId="42" applyFont="1" applyFill="1" applyBorder="1" applyAlignment="1">
      <alignment horizontal="right" vertical="center"/>
    </xf>
    <xf numFmtId="14" fontId="28" fillId="0" borderId="26" xfId="0" applyNumberFormat="1" applyFont="1" applyBorder="1" applyAlignment="1">
      <alignment/>
    </xf>
    <xf numFmtId="0" fontId="36" fillId="0" borderId="13" xfId="63" applyFont="1" applyFill="1" applyBorder="1" applyAlignment="1">
      <alignment vertical="center" wrapText="1"/>
      <protection/>
    </xf>
    <xf numFmtId="0" fontId="36" fillId="0" borderId="13" xfId="63" applyFont="1" applyFill="1" applyBorder="1" applyAlignment="1">
      <alignment vertical="center"/>
      <protection/>
    </xf>
    <xf numFmtId="0" fontId="36" fillId="0" borderId="58" xfId="63" applyFont="1" applyFill="1" applyBorder="1" applyAlignment="1">
      <alignment vertical="center" wrapText="1"/>
      <protection/>
    </xf>
    <xf numFmtId="171" fontId="36" fillId="0" borderId="13" xfId="42" applyFont="1" applyFill="1" applyBorder="1" applyAlignment="1">
      <alignment vertical="center" wrapText="1"/>
    </xf>
    <xf numFmtId="171" fontId="111" fillId="0" borderId="13" xfId="42" applyFont="1" applyFill="1" applyBorder="1" applyAlignment="1">
      <alignment/>
    </xf>
    <xf numFmtId="171" fontId="39" fillId="0" borderId="13" xfId="42" applyFont="1" applyFill="1" applyBorder="1" applyAlignment="1">
      <alignment/>
    </xf>
    <xf numFmtId="171" fontId="36" fillId="0" borderId="61" xfId="42" applyFont="1" applyFill="1" applyBorder="1" applyAlignment="1">
      <alignment vertical="center"/>
    </xf>
    <xf numFmtId="171" fontId="36" fillId="0" borderId="13" xfId="42" applyFont="1" applyFill="1" applyBorder="1" applyAlignment="1">
      <alignment vertical="center"/>
    </xf>
    <xf numFmtId="171" fontId="107" fillId="37" borderId="0" xfId="42" applyFont="1" applyFill="1" applyAlignment="1">
      <alignment horizontal="left"/>
    </xf>
    <xf numFmtId="0" fontId="105" fillId="0" borderId="0" xfId="0" applyFont="1" applyFill="1" applyAlignment="1">
      <alignment horizontal="left"/>
    </xf>
    <xf numFmtId="0" fontId="107" fillId="37" borderId="0" xfId="0" applyFont="1" applyFill="1" applyAlignment="1">
      <alignment horizontal="left"/>
    </xf>
    <xf numFmtId="43" fontId="107" fillId="41" borderId="13" xfId="0" applyNumberFormat="1" applyFont="1" applyFill="1" applyBorder="1" applyAlignment="1">
      <alignment/>
    </xf>
    <xf numFmtId="0" fontId="107" fillId="0" borderId="0" xfId="0" applyFont="1" applyAlignment="1">
      <alignment/>
    </xf>
    <xf numFmtId="43" fontId="107" fillId="32" borderId="0" xfId="0" applyNumberFormat="1" applyFont="1" applyFill="1" applyAlignment="1">
      <alignment/>
    </xf>
    <xf numFmtId="171" fontId="107" fillId="32" borderId="0" xfId="0" applyNumberFormat="1" applyFont="1" applyFill="1" applyAlignment="1">
      <alignment/>
    </xf>
    <xf numFmtId="43" fontId="107" fillId="0" borderId="0" xfId="0" applyNumberFormat="1" applyFont="1" applyAlignment="1">
      <alignment/>
    </xf>
    <xf numFmtId="43" fontId="107" fillId="43" borderId="0" xfId="0" applyNumberFormat="1" applyFont="1" applyFill="1" applyAlignment="1">
      <alignment/>
    </xf>
    <xf numFmtId="171" fontId="107" fillId="43" borderId="0" xfId="0" applyNumberFormat="1" applyFont="1" applyFill="1" applyAlignment="1">
      <alignment/>
    </xf>
    <xf numFmtId="0" fontId="105" fillId="32" borderId="0" xfId="0" applyFont="1" applyFill="1" applyAlignment="1">
      <alignment/>
    </xf>
    <xf numFmtId="0" fontId="25" fillId="0" borderId="0" xfId="0" applyFont="1" applyFill="1" applyAlignment="1">
      <alignment horizontal="left"/>
    </xf>
    <xf numFmtId="0" fontId="25" fillId="33" borderId="13" xfId="0" applyFont="1" applyFill="1" applyBorder="1" applyAlignment="1">
      <alignment horizontal="left"/>
    </xf>
    <xf numFmtId="0" fontId="26" fillId="0" borderId="0" xfId="0" applyFont="1" applyFill="1" applyAlignment="1">
      <alignment horizontal="left"/>
    </xf>
    <xf numFmtId="179" fontId="67" fillId="0" borderId="13" xfId="44" applyFont="1" applyFill="1" applyBorder="1" applyAlignment="1">
      <alignment/>
    </xf>
    <xf numFmtId="171" fontId="0" fillId="0" borderId="0" xfId="42" applyFont="1" applyAlignment="1">
      <alignment/>
    </xf>
    <xf numFmtId="171" fontId="98" fillId="0" borderId="0" xfId="42" applyFont="1" applyAlignment="1">
      <alignment/>
    </xf>
    <xf numFmtId="43" fontId="0" fillId="0" borderId="0" xfId="0" applyNumberFormat="1" applyAlignment="1">
      <alignment/>
    </xf>
    <xf numFmtId="43" fontId="116" fillId="0" borderId="0" xfId="0" applyNumberFormat="1" applyFont="1" applyAlignment="1">
      <alignment/>
    </xf>
    <xf numFmtId="171" fontId="0" fillId="12" borderId="0" xfId="42" applyFont="1" applyFill="1" applyAlignment="1">
      <alignment/>
    </xf>
    <xf numFmtId="171" fontId="117" fillId="0" borderId="0" xfId="42" applyFont="1" applyAlignment="1">
      <alignment/>
    </xf>
    <xf numFmtId="0" fontId="118" fillId="0" borderId="0" xfId="0" applyFont="1" applyAlignment="1">
      <alignment/>
    </xf>
    <xf numFmtId="171" fontId="118" fillId="0" borderId="0" xfId="42" applyFont="1" applyAlignment="1">
      <alignment/>
    </xf>
    <xf numFmtId="0" fontId="118" fillId="0" borderId="13" xfId="0" applyFont="1" applyBorder="1" applyAlignment="1">
      <alignment/>
    </xf>
    <xf numFmtId="171" fontId="118" fillId="0" borderId="13" xfId="42" applyFont="1" applyBorder="1" applyAlignment="1">
      <alignment/>
    </xf>
    <xf numFmtId="0" fontId="0" fillId="0" borderId="13" xfId="0" applyBorder="1" applyAlignment="1">
      <alignment/>
    </xf>
    <xf numFmtId="171" fontId="0" fillId="0" borderId="13" xfId="42" applyFont="1" applyBorder="1" applyAlignment="1">
      <alignment/>
    </xf>
    <xf numFmtId="0" fontId="106" fillId="13" borderId="0" xfId="0" applyFont="1" applyFill="1" applyAlignment="1">
      <alignment/>
    </xf>
    <xf numFmtId="171" fontId="106" fillId="13" borderId="0" xfId="42" applyFont="1" applyFill="1" applyAlignment="1">
      <alignment/>
    </xf>
    <xf numFmtId="0" fontId="106" fillId="13" borderId="0" xfId="0" applyFont="1" applyFill="1" applyAlignment="1">
      <alignment horizontal="left"/>
    </xf>
    <xf numFmtId="0" fontId="119" fillId="44" borderId="45" xfId="0" applyFont="1" applyFill="1" applyBorder="1" applyAlignment="1">
      <alignment/>
    </xf>
    <xf numFmtId="0" fontId="8" fillId="0" borderId="41" xfId="63" applyFont="1" applyBorder="1" applyAlignment="1" quotePrefix="1">
      <alignment horizontal="left" vertical="center" wrapText="1"/>
      <protection/>
    </xf>
    <xf numFmtId="0" fontId="106" fillId="42" borderId="0" xfId="0" applyFont="1" applyFill="1" applyAlignment="1">
      <alignment/>
    </xf>
    <xf numFmtId="171" fontId="106" fillId="42" borderId="0" xfId="42" applyFont="1" applyFill="1" applyAlignment="1">
      <alignment/>
    </xf>
    <xf numFmtId="0" fontId="106" fillId="42" borderId="0" xfId="0" applyFont="1" applyFill="1" applyAlignment="1">
      <alignment horizontal="left"/>
    </xf>
    <xf numFmtId="0" fontId="119" fillId="42" borderId="45" xfId="0" applyFont="1" applyFill="1" applyBorder="1" applyAlignment="1">
      <alignment/>
    </xf>
    <xf numFmtId="0" fontId="106" fillId="40" borderId="0" xfId="0" applyFont="1" applyFill="1" applyAlignment="1">
      <alignment/>
    </xf>
    <xf numFmtId="171" fontId="106" fillId="40" borderId="0" xfId="42" applyFont="1" applyFill="1" applyAlignment="1">
      <alignment/>
    </xf>
    <xf numFmtId="0" fontId="106" fillId="40" borderId="0" xfId="0" applyFont="1" applyFill="1" applyAlignment="1">
      <alignment horizontal="left"/>
    </xf>
    <xf numFmtId="0" fontId="119" fillId="40" borderId="52" xfId="0" applyFont="1" applyFill="1" applyBorder="1" applyAlignment="1">
      <alignment/>
    </xf>
    <xf numFmtId="0" fontId="119" fillId="40" borderId="45" xfId="0" applyFont="1" applyFill="1" applyBorder="1" applyAlignment="1">
      <alignment/>
    </xf>
    <xf numFmtId="0" fontId="119" fillId="40" borderId="0" xfId="0" applyFont="1" applyFill="1" applyAlignment="1">
      <alignment/>
    </xf>
    <xf numFmtId="0" fontId="106" fillId="44" borderId="0" xfId="0" applyFont="1" applyFill="1" applyAlignment="1">
      <alignment/>
    </xf>
    <xf numFmtId="171" fontId="106" fillId="44" borderId="0" xfId="42" applyFont="1" applyFill="1" applyAlignment="1">
      <alignment/>
    </xf>
    <xf numFmtId="0" fontId="106" fillId="44" borderId="0" xfId="0" applyFont="1" applyFill="1" applyAlignment="1">
      <alignment horizontal="left"/>
    </xf>
    <xf numFmtId="0" fontId="119" fillId="44" borderId="0" xfId="0" applyFont="1" applyFill="1" applyAlignment="1">
      <alignment/>
    </xf>
    <xf numFmtId="0" fontId="119" fillId="42" borderId="0" xfId="0" applyFont="1" applyFill="1" applyAlignment="1">
      <alignment/>
    </xf>
    <xf numFmtId="0" fontId="106" fillId="42" borderId="0" xfId="0" applyFont="1" applyFill="1" applyAlignment="1">
      <alignment horizontal="left" wrapText="1"/>
    </xf>
    <xf numFmtId="0" fontId="106" fillId="11" borderId="0" xfId="0" applyFont="1" applyFill="1" applyAlignment="1">
      <alignment horizontal="left"/>
    </xf>
    <xf numFmtId="0" fontId="106" fillId="45" borderId="0" xfId="0" applyFont="1" applyFill="1" applyAlignment="1">
      <alignment horizontal="left"/>
    </xf>
    <xf numFmtId="0" fontId="106" fillId="11" borderId="0" xfId="0" applyFont="1" applyFill="1" applyAlignment="1">
      <alignment/>
    </xf>
    <xf numFmtId="171" fontId="106" fillId="11" borderId="0" xfId="42" applyFont="1" applyFill="1" applyAlignment="1">
      <alignment/>
    </xf>
    <xf numFmtId="0" fontId="119" fillId="11" borderId="0" xfId="0" applyFont="1" applyFill="1" applyAlignment="1">
      <alignment horizontal="right"/>
    </xf>
    <xf numFmtId="0" fontId="106" fillId="40" borderId="0" xfId="0" applyFont="1" applyFill="1" applyAlignment="1">
      <alignment horizontal="left" wrapText="1"/>
    </xf>
    <xf numFmtId="0" fontId="106" fillId="45" borderId="0" xfId="0" applyFont="1" applyFill="1" applyAlignment="1">
      <alignment/>
    </xf>
    <xf numFmtId="171" fontId="106" fillId="45" borderId="0" xfId="42" applyFont="1" applyFill="1" applyAlignment="1">
      <alignment/>
    </xf>
    <xf numFmtId="0" fontId="119" fillId="45" borderId="0" xfId="0" applyFont="1" applyFill="1" applyAlignment="1">
      <alignment/>
    </xf>
    <xf numFmtId="0" fontId="119" fillId="45" borderId="0" xfId="0" applyFont="1" applyFill="1" applyAlignment="1">
      <alignment horizontal="right"/>
    </xf>
    <xf numFmtId="0" fontId="119" fillId="40" borderId="0" xfId="0" applyFont="1" applyFill="1" applyAlignment="1">
      <alignment horizontal="right"/>
    </xf>
    <xf numFmtId="171" fontId="120" fillId="40" borderId="0" xfId="42" applyFont="1" applyFill="1" applyAlignment="1">
      <alignment/>
    </xf>
    <xf numFmtId="171" fontId="0" fillId="0" borderId="0" xfId="0" applyNumberFormat="1" applyAlignment="1">
      <alignment/>
    </xf>
    <xf numFmtId="171" fontId="80" fillId="42" borderId="0" xfId="42" applyFont="1" applyFill="1" applyAlignment="1">
      <alignment/>
    </xf>
    <xf numFmtId="0" fontId="67" fillId="0" borderId="0" xfId="0" applyFont="1" applyFill="1" applyAlignment="1">
      <alignment/>
    </xf>
    <xf numFmtId="179" fontId="67" fillId="0" borderId="0" xfId="44" applyFont="1" applyFill="1" applyAlignment="1">
      <alignment/>
    </xf>
    <xf numFmtId="171" fontId="67" fillId="0" borderId="0" xfId="42" applyFont="1" applyFill="1" applyAlignment="1">
      <alignment/>
    </xf>
    <xf numFmtId="0" fontId="81" fillId="0" borderId="0" xfId="0" applyFont="1" applyFill="1" applyAlignment="1">
      <alignment/>
    </xf>
    <xf numFmtId="0" fontId="67" fillId="0" borderId="0" xfId="0" applyFont="1" applyFill="1" applyAlignment="1">
      <alignment horizontal="left"/>
    </xf>
    <xf numFmtId="179" fontId="81" fillId="34" borderId="0" xfId="44" applyFont="1" applyFill="1" applyAlignment="1">
      <alignment/>
    </xf>
    <xf numFmtId="171" fontId="81" fillId="34" borderId="0" xfId="42" applyFont="1" applyFill="1" applyAlignment="1">
      <alignment/>
    </xf>
    <xf numFmtId="171" fontId="81" fillId="33" borderId="0" xfId="42" applyFont="1" applyFill="1" applyAlignment="1">
      <alignment/>
    </xf>
    <xf numFmtId="0" fontId="81" fillId="33" borderId="13" xfId="0" applyFont="1" applyFill="1" applyBorder="1" applyAlignment="1">
      <alignment horizontal="left"/>
    </xf>
    <xf numFmtId="0" fontId="81" fillId="33" borderId="13" xfId="0" applyFont="1" applyFill="1" applyBorder="1" applyAlignment="1">
      <alignment/>
    </xf>
    <xf numFmtId="171" fontId="81" fillId="0" borderId="13" xfId="42" applyFont="1" applyFill="1" applyBorder="1" applyAlignment="1">
      <alignment/>
    </xf>
    <xf numFmtId="0" fontId="67" fillId="0" borderId="13" xfId="0" applyFont="1" applyFill="1" applyBorder="1" applyAlignment="1">
      <alignment horizontal="left"/>
    </xf>
    <xf numFmtId="0" fontId="67" fillId="0" borderId="13" xfId="0" applyFont="1" applyFill="1" applyBorder="1" applyAlignment="1">
      <alignment/>
    </xf>
    <xf numFmtId="0" fontId="81" fillId="0" borderId="13" xfId="0" applyFont="1" applyFill="1" applyBorder="1" applyAlignment="1">
      <alignment horizontal="left"/>
    </xf>
    <xf numFmtId="171" fontId="81" fillId="39" borderId="0" xfId="42" applyFont="1" applyFill="1" applyAlignment="1">
      <alignment/>
    </xf>
    <xf numFmtId="171" fontId="67" fillId="0" borderId="0" xfId="0" applyNumberFormat="1" applyFont="1" applyFill="1" applyAlignment="1">
      <alignment/>
    </xf>
    <xf numFmtId="0" fontId="81" fillId="46" borderId="13" xfId="0" applyFont="1" applyFill="1" applyBorder="1" applyAlignment="1">
      <alignment horizontal="left"/>
    </xf>
    <xf numFmtId="0" fontId="67" fillId="46" borderId="13" xfId="0" applyFont="1" applyFill="1" applyBorder="1" applyAlignment="1">
      <alignment/>
    </xf>
    <xf numFmtId="0" fontId="81" fillId="0" borderId="13" xfId="0" applyFont="1" applyFill="1" applyBorder="1" applyAlignment="1" quotePrefix="1">
      <alignment horizontal="left"/>
    </xf>
    <xf numFmtId="0" fontId="81" fillId="11" borderId="13" xfId="0" applyFont="1" applyFill="1" applyBorder="1" applyAlignment="1">
      <alignment horizontal="left"/>
    </xf>
    <xf numFmtId="171" fontId="81" fillId="0" borderId="0" xfId="42" applyFont="1" applyFill="1" applyAlignment="1">
      <alignment/>
    </xf>
    <xf numFmtId="171" fontId="74" fillId="0" borderId="0" xfId="42" applyFont="1" applyAlignment="1">
      <alignment/>
    </xf>
    <xf numFmtId="179" fontId="67" fillId="0" borderId="0" xfId="0" applyNumberFormat="1" applyFont="1" applyFill="1" applyAlignment="1">
      <alignment/>
    </xf>
    <xf numFmtId="0" fontId="67" fillId="0" borderId="0" xfId="0" applyFont="1" applyFill="1" applyBorder="1" applyAlignment="1">
      <alignment horizontal="left"/>
    </xf>
    <xf numFmtId="171" fontId="67" fillId="0" borderId="0" xfId="42" applyFont="1" applyFill="1" applyBorder="1" applyAlignment="1">
      <alignment/>
    </xf>
    <xf numFmtId="179" fontId="67" fillId="0" borderId="0" xfId="44" applyFont="1" applyFill="1" applyBorder="1" applyAlignment="1">
      <alignment/>
    </xf>
    <xf numFmtId="0" fontId="67" fillId="0" borderId="0" xfId="0" applyFont="1" applyFill="1" applyBorder="1" applyAlignment="1">
      <alignment/>
    </xf>
    <xf numFmtId="171" fontId="81" fillId="0" borderId="0" xfId="42" applyFont="1" applyFill="1" applyBorder="1" applyAlignment="1">
      <alignment/>
    </xf>
    <xf numFmtId="179" fontId="81" fillId="0" borderId="0" xfId="0" applyNumberFormat="1" applyFont="1" applyFill="1" applyBorder="1" applyAlignment="1">
      <alignment/>
    </xf>
    <xf numFmtId="179" fontId="81" fillId="0" borderId="0" xfId="44" applyFont="1" applyFill="1" applyAlignment="1">
      <alignment/>
    </xf>
    <xf numFmtId="179" fontId="81" fillId="0" borderId="0" xfId="0" applyNumberFormat="1" applyFont="1" applyFill="1" applyAlignment="1">
      <alignment/>
    </xf>
    <xf numFmtId="171" fontId="27" fillId="0" borderId="0" xfId="42" applyFont="1" applyFill="1" applyAlignment="1">
      <alignment/>
    </xf>
    <xf numFmtId="0" fontId="119" fillId="42" borderId="0" xfId="0" applyFont="1" applyFill="1" applyAlignment="1">
      <alignment horizontal="right"/>
    </xf>
    <xf numFmtId="43" fontId="107" fillId="42" borderId="0" xfId="0" applyNumberFormat="1" applyFont="1" applyFill="1" applyAlignment="1">
      <alignment/>
    </xf>
    <xf numFmtId="0" fontId="105" fillId="42" borderId="0" xfId="0" applyFont="1" applyFill="1" applyAlignment="1">
      <alignment/>
    </xf>
    <xf numFmtId="4" fontId="8" fillId="0" borderId="0" xfId="63" applyNumberFormat="1" applyFont="1" applyFill="1" applyBorder="1">
      <alignment/>
      <protection/>
    </xf>
    <xf numFmtId="171" fontId="8" fillId="38" borderId="34" xfId="42" applyFont="1" applyFill="1" applyBorder="1" applyAlignment="1">
      <alignment horizontal="right" vertical="center"/>
    </xf>
    <xf numFmtId="0" fontId="8" fillId="0" borderId="23" xfId="63" applyFont="1" applyBorder="1" applyAlignment="1">
      <alignment horizontal="left" vertical="center" wrapText="1"/>
      <protection/>
    </xf>
    <xf numFmtId="0" fontId="8" fillId="0" borderId="23" xfId="63" applyFont="1" applyFill="1" applyBorder="1" applyAlignment="1">
      <alignment horizontal="right" vertical="center"/>
      <protection/>
    </xf>
    <xf numFmtId="49" fontId="8" fillId="0" borderId="23" xfId="47" applyNumberFormat="1" applyFont="1" applyFill="1" applyBorder="1" applyAlignment="1">
      <alignment horizontal="center" vertical="center"/>
    </xf>
    <xf numFmtId="4" fontId="8" fillId="0" borderId="72" xfId="44" applyNumberFormat="1" applyFont="1" applyFill="1" applyBorder="1" applyAlignment="1">
      <alignment horizontal="right" vertical="center"/>
    </xf>
    <xf numFmtId="171" fontId="8" fillId="38" borderId="15" xfId="42" applyFont="1" applyFill="1" applyBorder="1" applyAlignment="1">
      <alignment horizontal="right" vertical="center"/>
    </xf>
    <xf numFmtId="4" fontId="10" fillId="0" borderId="65" xfId="44" applyNumberFormat="1" applyFont="1" applyFill="1" applyBorder="1" applyAlignment="1">
      <alignment horizontal="right" vertical="center"/>
    </xf>
    <xf numFmtId="171" fontId="105" fillId="42" borderId="0" xfId="42" applyFont="1" applyFill="1" applyAlignment="1">
      <alignment/>
    </xf>
    <xf numFmtId="171" fontId="10" fillId="38" borderId="63" xfId="42" applyFont="1" applyFill="1" applyBorder="1" applyAlignment="1">
      <alignment horizontal="right" vertical="center"/>
    </xf>
    <xf numFmtId="0" fontId="36" fillId="0" borderId="58" xfId="63" applyFont="1" applyFill="1" applyBorder="1" applyAlignment="1">
      <alignment horizontal="left" wrapText="1"/>
      <protection/>
    </xf>
    <xf numFmtId="0" fontId="36" fillId="0" borderId="48" xfId="63" applyFont="1" applyFill="1" applyBorder="1" applyAlignment="1">
      <alignment vertical="center" wrapText="1"/>
      <protection/>
    </xf>
    <xf numFmtId="0" fontId="8" fillId="0" borderId="44" xfId="63" applyFont="1" applyFill="1" applyBorder="1" applyAlignment="1">
      <alignment horizontal="right" vertical="center"/>
      <protection/>
    </xf>
    <xf numFmtId="49" fontId="8" fillId="0" borderId="44" xfId="47" applyNumberFormat="1" applyFont="1" applyFill="1" applyBorder="1" applyAlignment="1">
      <alignment horizontal="center" vertical="center"/>
    </xf>
    <xf numFmtId="171" fontId="8" fillId="0" borderId="62" xfId="42" applyFont="1" applyFill="1" applyBorder="1" applyAlignment="1">
      <alignment horizontal="right" vertical="center"/>
    </xf>
    <xf numFmtId="171" fontId="8" fillId="0" borderId="57" xfId="42" applyFont="1" applyFill="1" applyBorder="1" applyAlignment="1">
      <alignment horizontal="right" vertical="center"/>
    </xf>
    <xf numFmtId="171" fontId="8" fillId="0" borderId="58" xfId="42" applyFont="1" applyFill="1" applyBorder="1" applyAlignment="1">
      <alignment horizontal="right" vertical="center"/>
    </xf>
    <xf numFmtId="171" fontId="10" fillId="38" borderId="73" xfId="42" applyFont="1" applyFill="1" applyBorder="1" applyAlignment="1">
      <alignment horizontal="right" vertical="center"/>
    </xf>
    <xf numFmtId="171" fontId="8" fillId="0" borderId="72" xfId="42" applyFont="1" applyFill="1" applyBorder="1" applyAlignment="1">
      <alignment horizontal="right" vertical="center" wrapText="1"/>
    </xf>
    <xf numFmtId="171" fontId="8" fillId="0" borderId="72" xfId="42" applyFont="1" applyFill="1" applyBorder="1" applyAlignment="1">
      <alignment horizontal="right" vertical="center"/>
    </xf>
    <xf numFmtId="171" fontId="8" fillId="38" borderId="40" xfId="42" applyFont="1" applyFill="1" applyBorder="1" applyAlignment="1">
      <alignment horizontal="right" vertical="center" wrapText="1"/>
    </xf>
    <xf numFmtId="0" fontId="8" fillId="0" borderId="61" xfId="63" applyFont="1" applyBorder="1" applyAlignment="1">
      <alignment horizontal="left" vertical="center" wrapText="1"/>
      <protection/>
    </xf>
    <xf numFmtId="0" fontId="8" fillId="0" borderId="48" xfId="63" applyFont="1" applyBorder="1" applyAlignment="1">
      <alignment horizontal="left" vertical="center" wrapText="1"/>
      <protection/>
    </xf>
    <xf numFmtId="0" fontId="8" fillId="0" borderId="64" xfId="63" applyFont="1" applyBorder="1" applyAlignment="1">
      <alignment horizontal="left" vertical="center" wrapText="1"/>
      <protection/>
    </xf>
    <xf numFmtId="0" fontId="10" fillId="0" borderId="31" xfId="63" applyFont="1" applyFill="1" applyBorder="1" applyAlignment="1">
      <alignment horizontal="center" vertical="center"/>
      <protection/>
    </xf>
    <xf numFmtId="0" fontId="20" fillId="0" borderId="32" xfId="61" applyFont="1" applyBorder="1">
      <alignment/>
      <protection/>
    </xf>
    <xf numFmtId="0" fontId="10" fillId="0" borderId="0" xfId="63" applyFont="1" applyBorder="1" applyAlignment="1">
      <alignment horizontal="center" vertical="center"/>
      <protection/>
    </xf>
    <xf numFmtId="0" fontId="8" fillId="0" borderId="65" xfId="63" applyFont="1" applyBorder="1" applyAlignment="1">
      <alignment horizontal="left" vertical="center" wrapText="1"/>
      <protection/>
    </xf>
    <xf numFmtId="0" fontId="8" fillId="0" borderId="63" xfId="63" applyFont="1" applyBorder="1" applyAlignment="1">
      <alignment horizontal="left" vertical="center" wrapText="1"/>
      <protection/>
    </xf>
    <xf numFmtId="0" fontId="8" fillId="0" borderId="73" xfId="63" applyFont="1" applyBorder="1" applyAlignment="1">
      <alignment horizontal="left" vertical="center" wrapText="1"/>
      <protection/>
    </xf>
    <xf numFmtId="0" fontId="8" fillId="0" borderId="69" xfId="63" applyFont="1" applyBorder="1" applyAlignment="1">
      <alignment horizontal="left" vertical="center" wrapText="1"/>
      <protection/>
    </xf>
    <xf numFmtId="0" fontId="8" fillId="0" borderId="74" xfId="63" applyFont="1" applyBorder="1" applyAlignment="1">
      <alignment horizontal="left" vertical="center" wrapText="1"/>
      <protection/>
    </xf>
    <xf numFmtId="0" fontId="8" fillId="0" borderId="71" xfId="63" applyFont="1" applyBorder="1" applyAlignment="1">
      <alignment horizontal="left" vertical="center" wrapText="1"/>
      <protection/>
    </xf>
    <xf numFmtId="0" fontId="8" fillId="0" borderId="75" xfId="63" applyFont="1" applyBorder="1" applyAlignment="1">
      <alignment horizontal="left" vertical="center" wrapText="1"/>
      <protection/>
    </xf>
    <xf numFmtId="0" fontId="8" fillId="0" borderId="13" xfId="63" applyFont="1" applyBorder="1" applyAlignment="1">
      <alignment horizontal="left" vertical="center" wrapText="1"/>
      <protection/>
    </xf>
    <xf numFmtId="0" fontId="8" fillId="0" borderId="20" xfId="63" applyFont="1" applyBorder="1" applyAlignment="1">
      <alignment horizontal="left" vertical="center" wrapText="1"/>
      <protection/>
    </xf>
    <xf numFmtId="0" fontId="10" fillId="0" borderId="65" xfId="63" applyFont="1" applyBorder="1" applyAlignment="1">
      <alignment horizontal="left" vertical="center" wrapText="1"/>
      <protection/>
    </xf>
    <xf numFmtId="0" fontId="10" fillId="0" borderId="63" xfId="63" applyFont="1" applyBorder="1" applyAlignment="1">
      <alignment horizontal="left" vertical="center" wrapText="1"/>
      <protection/>
    </xf>
    <xf numFmtId="0" fontId="10" fillId="0" borderId="73" xfId="63" applyFont="1" applyBorder="1" applyAlignment="1">
      <alignment horizontal="left" vertical="center" wrapText="1"/>
      <protection/>
    </xf>
    <xf numFmtId="0" fontId="10" fillId="0" borderId="65" xfId="63" applyFont="1" applyFill="1" applyBorder="1" applyAlignment="1">
      <alignment horizontal="center" vertical="center" wrapText="1"/>
      <protection/>
    </xf>
    <xf numFmtId="0" fontId="10" fillId="0" borderId="63" xfId="63" applyFont="1" applyFill="1" applyBorder="1" applyAlignment="1">
      <alignment horizontal="center" vertical="center" wrapText="1"/>
      <protection/>
    </xf>
    <xf numFmtId="0" fontId="10" fillId="0" borderId="73" xfId="63" applyFont="1" applyFill="1" applyBorder="1" applyAlignment="1">
      <alignment horizontal="center" vertical="center" wrapText="1"/>
      <protection/>
    </xf>
    <xf numFmtId="0" fontId="8" fillId="0" borderId="58" xfId="61" applyFont="1" applyBorder="1" applyAlignment="1">
      <alignment wrapText="1"/>
      <protection/>
    </xf>
    <xf numFmtId="0" fontId="8" fillId="0" borderId="48" xfId="61" applyFont="1" applyBorder="1" applyAlignment="1">
      <alignment wrapText="1"/>
      <protection/>
    </xf>
    <xf numFmtId="0" fontId="8" fillId="0" borderId="64" xfId="61" applyFont="1" applyBorder="1" applyAlignment="1">
      <alignment wrapText="1"/>
      <protection/>
    </xf>
    <xf numFmtId="0" fontId="8" fillId="0" borderId="69" xfId="63" applyFont="1" applyFill="1" applyBorder="1" applyAlignment="1">
      <alignment horizontal="left" vertical="top" wrapText="1"/>
      <protection/>
    </xf>
    <xf numFmtId="0" fontId="8" fillId="0" borderId="74" xfId="63" applyFont="1" applyFill="1" applyBorder="1" applyAlignment="1">
      <alignment horizontal="left" vertical="top" wrapText="1"/>
      <protection/>
    </xf>
    <xf numFmtId="0" fontId="8" fillId="0" borderId="76" xfId="63" applyFont="1" applyFill="1" applyBorder="1" applyAlignment="1">
      <alignment horizontal="left" vertical="top" wrapText="1"/>
      <protection/>
    </xf>
    <xf numFmtId="0" fontId="8" fillId="0" borderId="58" xfId="61" applyFont="1" applyBorder="1" applyAlignment="1">
      <alignment horizontal="left" wrapText="1"/>
      <protection/>
    </xf>
    <xf numFmtId="0" fontId="8" fillId="0" borderId="48" xfId="61" applyFont="1" applyBorder="1" applyAlignment="1">
      <alignment horizontal="left" wrapText="1"/>
      <protection/>
    </xf>
    <xf numFmtId="0" fontId="8" fillId="0" borderId="64" xfId="61" applyFont="1" applyBorder="1" applyAlignment="1">
      <alignment horizontal="left" wrapText="1"/>
      <protection/>
    </xf>
    <xf numFmtId="0" fontId="8" fillId="0" borderId="58" xfId="63" applyFont="1" applyBorder="1" applyAlignment="1">
      <alignment horizontal="left" vertical="center" wrapText="1"/>
      <protection/>
    </xf>
    <xf numFmtId="0" fontId="8" fillId="0" borderId="12" xfId="63" applyFont="1" applyBorder="1" applyAlignment="1">
      <alignment horizontal="left" vertical="center" wrapText="1"/>
      <protection/>
    </xf>
    <xf numFmtId="0" fontId="8" fillId="0" borderId="0" xfId="63" applyNumberFormat="1" applyFont="1" applyBorder="1" applyAlignment="1">
      <alignment horizontal="left" vertical="center" wrapText="1"/>
      <protection/>
    </xf>
    <xf numFmtId="0" fontId="8" fillId="0" borderId="57" xfId="63" applyFont="1" applyBorder="1" applyAlignment="1">
      <alignment horizontal="left" vertical="center" wrapText="1"/>
      <protection/>
    </xf>
    <xf numFmtId="0" fontId="8" fillId="0" borderId="68" xfId="63" applyFont="1" applyBorder="1" applyAlignment="1">
      <alignment horizontal="left" vertical="center" wrapText="1"/>
      <protection/>
    </xf>
    <xf numFmtId="0" fontId="19" fillId="0" borderId="0" xfId="63" applyFont="1" applyBorder="1" applyAlignment="1">
      <alignment horizontal="center" vertical="center"/>
      <protection/>
    </xf>
    <xf numFmtId="0" fontId="22" fillId="0" borderId="0" xfId="63" applyFont="1" applyBorder="1" applyAlignment="1">
      <alignment horizontal="center" vertical="center"/>
      <protection/>
    </xf>
    <xf numFmtId="0" fontId="8" fillId="0" borderId="0" xfId="61" applyFont="1" applyBorder="1" applyAlignment="1">
      <alignment horizontal="center"/>
      <protection/>
    </xf>
    <xf numFmtId="0" fontId="10" fillId="0" borderId="65" xfId="63" applyFont="1" applyBorder="1" applyAlignment="1">
      <alignment horizontal="left" vertical="center"/>
      <protection/>
    </xf>
    <xf numFmtId="0" fontId="10" fillId="0" borderId="63" xfId="63" applyFont="1" applyBorder="1" applyAlignment="1">
      <alignment horizontal="left" vertical="center"/>
      <protection/>
    </xf>
    <xf numFmtId="0" fontId="10" fillId="0" borderId="73" xfId="63" applyFont="1" applyBorder="1" applyAlignment="1">
      <alignment horizontal="left" vertical="center"/>
      <protection/>
    </xf>
    <xf numFmtId="0" fontId="10" fillId="0" borderId="65" xfId="63" applyFont="1" applyFill="1" applyBorder="1" applyAlignment="1">
      <alignment horizontal="center" vertical="center"/>
      <protection/>
    </xf>
    <xf numFmtId="0" fontId="10" fillId="0" borderId="63" xfId="63" applyFont="1" applyFill="1" applyBorder="1" applyAlignment="1">
      <alignment horizontal="center" vertical="center"/>
      <protection/>
    </xf>
    <xf numFmtId="0" fontId="10" fillId="0" borderId="73" xfId="63" applyFont="1" applyFill="1" applyBorder="1" applyAlignment="1">
      <alignment horizontal="center" vertical="center"/>
      <protection/>
    </xf>
    <xf numFmtId="0" fontId="8" fillId="0" borderId="57" xfId="63" applyFont="1" applyFill="1" applyBorder="1" applyAlignment="1">
      <alignment horizontal="center" vertical="top" wrapText="1"/>
      <protection/>
    </xf>
    <xf numFmtId="0" fontId="8" fillId="0" borderId="68" xfId="63" applyFont="1" applyFill="1" applyBorder="1" applyAlignment="1">
      <alignment horizontal="center" vertical="top" wrapText="1"/>
      <protection/>
    </xf>
    <xf numFmtId="0" fontId="8" fillId="0" borderId="77" xfId="63" applyFont="1" applyFill="1" applyBorder="1" applyAlignment="1">
      <alignment horizontal="center" vertical="top" wrapText="1"/>
      <protection/>
    </xf>
    <xf numFmtId="0" fontId="13" fillId="0" borderId="78" xfId="63" applyFont="1" applyFill="1" applyBorder="1" applyAlignment="1">
      <alignment horizontal="center" vertical="center"/>
      <protection/>
    </xf>
    <xf numFmtId="0" fontId="13" fillId="0" borderId="79" xfId="63" applyFont="1" applyFill="1" applyBorder="1" applyAlignment="1">
      <alignment horizontal="center" vertical="center"/>
      <protection/>
    </xf>
    <xf numFmtId="0" fontId="13" fillId="0" borderId="80" xfId="63" applyFont="1" applyFill="1" applyBorder="1" applyAlignment="1">
      <alignment horizontal="center" vertical="center"/>
      <protection/>
    </xf>
    <xf numFmtId="0" fontId="13" fillId="0" borderId="78" xfId="63" applyFont="1" applyBorder="1" applyAlignment="1">
      <alignment horizontal="center" vertical="center"/>
      <protection/>
    </xf>
    <xf numFmtId="0" fontId="13" fillId="0" borderId="79" xfId="63" applyFont="1" applyBorder="1" applyAlignment="1">
      <alignment horizontal="center" vertical="center"/>
      <protection/>
    </xf>
    <xf numFmtId="0" fontId="13" fillId="0" borderId="80" xfId="63" applyFont="1" applyBorder="1" applyAlignment="1">
      <alignment horizontal="center" vertical="center"/>
      <protection/>
    </xf>
    <xf numFmtId="0" fontId="121" fillId="0" borderId="31" xfId="63" applyFont="1" applyBorder="1" applyAlignment="1">
      <alignment horizontal="center" vertical="center" wrapText="1"/>
      <protection/>
    </xf>
    <xf numFmtId="0" fontId="121" fillId="0" borderId="32" xfId="63" applyFont="1" applyBorder="1" applyAlignment="1">
      <alignment horizontal="center" vertical="center" wrapText="1"/>
      <protection/>
    </xf>
    <xf numFmtId="0" fontId="121" fillId="0" borderId="25" xfId="63" applyFont="1" applyBorder="1" applyAlignment="1">
      <alignment horizontal="center" vertical="center" wrapText="1"/>
      <protection/>
    </xf>
    <xf numFmtId="0" fontId="121" fillId="0" borderId="26" xfId="63" applyFont="1" applyBorder="1" applyAlignment="1">
      <alignment horizontal="center" vertical="center" wrapText="1"/>
      <protection/>
    </xf>
    <xf numFmtId="0" fontId="121" fillId="0" borderId="0" xfId="63" applyFont="1" applyBorder="1" applyAlignment="1">
      <alignment horizontal="center" vertical="center" wrapText="1"/>
      <protection/>
    </xf>
    <xf numFmtId="0" fontId="121" fillId="0" borderId="27" xfId="63" applyFont="1" applyBorder="1" applyAlignment="1">
      <alignment horizontal="center" vertical="center" wrapText="1"/>
      <protection/>
    </xf>
    <xf numFmtId="0" fontId="121" fillId="0" borderId="28" xfId="63" applyFont="1" applyBorder="1" applyAlignment="1">
      <alignment horizontal="center" vertical="center" wrapText="1"/>
      <protection/>
    </xf>
    <xf numFmtId="0" fontId="121" fillId="0" borderId="29" xfId="63" applyFont="1" applyBorder="1" applyAlignment="1">
      <alignment horizontal="center" vertical="center" wrapText="1"/>
      <protection/>
    </xf>
    <xf numFmtId="0" fontId="121" fillId="0" borderId="30" xfId="63" applyFont="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8" fillId="0" borderId="32" xfId="63" applyFont="1" applyFill="1" applyBorder="1" applyAlignment="1">
      <alignment horizontal="center" vertical="center" wrapText="1"/>
      <protection/>
    </xf>
    <xf numFmtId="0" fontId="8" fillId="0" borderId="25" xfId="63" applyFont="1" applyFill="1" applyBorder="1" applyAlignment="1">
      <alignment horizontal="center" vertical="center" wrapText="1"/>
      <protection/>
    </xf>
    <xf numFmtId="0" fontId="8" fillId="0" borderId="46"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10" fillId="0" borderId="57" xfId="63" applyFont="1" applyBorder="1" applyAlignment="1">
      <alignment horizontal="left" vertical="center" wrapText="1"/>
      <protection/>
    </xf>
    <xf numFmtId="0" fontId="10" fillId="0" borderId="68" xfId="63" applyFont="1" applyBorder="1" applyAlignment="1">
      <alignment horizontal="left" vertical="center" wrapText="1"/>
      <protection/>
    </xf>
    <xf numFmtId="0" fontId="10" fillId="0" borderId="51" xfId="63" applyFont="1" applyBorder="1" applyAlignment="1">
      <alignment horizontal="left" vertical="center" wrapText="1"/>
      <protection/>
    </xf>
    <xf numFmtId="0" fontId="8" fillId="0" borderId="58" xfId="63" applyFont="1" applyFill="1" applyBorder="1" applyAlignment="1">
      <alignment horizontal="left" wrapText="1"/>
      <protection/>
    </xf>
    <xf numFmtId="0" fontId="8" fillId="0" borderId="48" xfId="63" applyFont="1" applyFill="1" applyBorder="1" applyAlignment="1">
      <alignment horizontal="left" wrapText="1"/>
      <protection/>
    </xf>
    <xf numFmtId="0" fontId="8" fillId="0" borderId="12" xfId="63" applyFont="1" applyFill="1" applyBorder="1" applyAlignment="1">
      <alignment horizontal="left" wrapText="1"/>
      <protection/>
    </xf>
    <xf numFmtId="0" fontId="10" fillId="0" borderId="69" xfId="63" applyFont="1" applyBorder="1" applyAlignment="1">
      <alignment horizontal="left" vertical="center" wrapText="1"/>
      <protection/>
    </xf>
    <xf numFmtId="0" fontId="10" fillId="0" borderId="74" xfId="63" applyFont="1" applyBorder="1" applyAlignment="1">
      <alignment horizontal="left" vertical="center" wrapText="1"/>
      <protection/>
    </xf>
    <xf numFmtId="0" fontId="10" fillId="0" borderId="71" xfId="63" applyFont="1" applyBorder="1" applyAlignment="1">
      <alignment horizontal="left" vertical="center" wrapText="1"/>
      <protection/>
    </xf>
    <xf numFmtId="0" fontId="8" fillId="0" borderId="51" xfId="63" applyFont="1" applyBorder="1" applyAlignment="1">
      <alignment horizontal="left" vertical="center" wrapText="1"/>
      <protection/>
    </xf>
    <xf numFmtId="0" fontId="8" fillId="0" borderId="31" xfId="63" applyFont="1" applyBorder="1" applyAlignment="1">
      <alignment horizontal="left" vertical="center" wrapText="1"/>
      <protection/>
    </xf>
    <xf numFmtId="0" fontId="8" fillId="0" borderId="32" xfId="63" applyFont="1" applyBorder="1" applyAlignment="1">
      <alignment horizontal="left" vertical="center" wrapText="1"/>
      <protection/>
    </xf>
    <xf numFmtId="0" fontId="8" fillId="0" borderId="25" xfId="63" applyFont="1" applyBorder="1" applyAlignment="1">
      <alignment horizontal="left" vertical="center" wrapText="1"/>
      <protection/>
    </xf>
    <xf numFmtId="0" fontId="8" fillId="0" borderId="12" xfId="63" applyFont="1" applyBorder="1" applyAlignment="1">
      <alignment horizontal="left" vertical="center"/>
      <protection/>
    </xf>
    <xf numFmtId="0" fontId="25" fillId="0" borderId="0" xfId="0" applyFont="1" applyFill="1" applyAlignment="1">
      <alignment horizontal="center"/>
    </xf>
    <xf numFmtId="17" fontId="122" fillId="37" borderId="0" xfId="0" applyNumberFormat="1" applyFont="1" applyFill="1" applyAlignment="1">
      <alignment horizontal="center"/>
    </xf>
    <xf numFmtId="0" fontId="8" fillId="0" borderId="58" xfId="63" applyFont="1" applyBorder="1" applyAlignment="1">
      <alignment horizontal="left" vertical="center"/>
      <protection/>
    </xf>
    <xf numFmtId="0" fontId="8" fillId="0" borderId="48" xfId="63" applyFont="1" applyBorder="1" applyAlignment="1">
      <alignment horizontal="left" vertical="center"/>
      <protection/>
    </xf>
    <xf numFmtId="171" fontId="35" fillId="0" borderId="13" xfId="42" applyFont="1" applyFill="1" applyBorder="1" applyAlignment="1">
      <alignment vertical="center" wrapText="1"/>
    </xf>
    <xf numFmtId="171" fontId="38" fillId="0" borderId="16" xfId="42" applyFont="1" applyFill="1" applyBorder="1" applyAlignment="1">
      <alignment vertical="center" wrapText="1"/>
    </xf>
    <xf numFmtId="171" fontId="36" fillId="0" borderId="64" xfId="42" applyFont="1" applyFill="1" applyBorder="1" applyAlignment="1">
      <alignment vertical="center"/>
    </xf>
    <xf numFmtId="4" fontId="38" fillId="0" borderId="65" xfId="0" applyNumberFormat="1" applyFont="1" applyFill="1" applyBorder="1" applyAlignment="1">
      <alignment/>
    </xf>
    <xf numFmtId="171" fontId="39" fillId="0" borderId="81" xfId="42" applyFont="1" applyFill="1" applyBorder="1" applyAlignment="1">
      <alignment/>
    </xf>
    <xf numFmtId="171" fontId="39" fillId="0" borderId="82" xfId="42" applyFont="1" applyFill="1" applyBorder="1" applyAlignment="1">
      <alignment/>
    </xf>
    <xf numFmtId="171" fontId="39" fillId="0" borderId="17" xfId="42" applyFont="1" applyFill="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_Sheet1"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_Sheet1"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89"/>
  <sheetViews>
    <sheetView zoomScale="87" zoomScaleNormal="87" zoomScalePageLayoutView="0" workbookViewId="0" topLeftCell="A36">
      <selection activeCell="J62" sqref="J62"/>
    </sheetView>
  </sheetViews>
  <sheetFormatPr defaultColWidth="12.7109375" defaultRowHeight="15"/>
  <cols>
    <col min="1" max="3" width="12.7109375" style="0" customWidth="1"/>
    <col min="4" max="4" width="9.421875" style="0" customWidth="1"/>
    <col min="5" max="7" width="12.7109375" style="0" customWidth="1"/>
    <col min="8" max="8" width="4.7109375" style="0" customWidth="1"/>
    <col min="9" max="9" width="12.7109375" style="0" customWidth="1"/>
    <col min="10" max="10" width="12.7109375" style="228" customWidth="1"/>
    <col min="11" max="14" width="12.7109375" style="247" customWidth="1"/>
    <col min="15" max="15" width="6.7109375" style="0" customWidth="1"/>
    <col min="16" max="18" width="12.7109375" style="247" customWidth="1"/>
    <col min="19" max="19" width="12.7109375" style="95" customWidth="1"/>
  </cols>
  <sheetData>
    <row r="1" spans="1:19" ht="15">
      <c r="A1" s="1"/>
      <c r="B1" s="2"/>
      <c r="C1" s="2"/>
      <c r="D1" s="2"/>
      <c r="E1" s="2"/>
      <c r="F1" s="3"/>
      <c r="G1" s="3"/>
      <c r="H1" s="3"/>
      <c r="I1" s="4"/>
      <c r="J1" s="210" t="s">
        <v>0</v>
      </c>
      <c r="K1" s="210"/>
      <c r="L1" s="248" t="s">
        <v>1</v>
      </c>
      <c r="M1" s="248"/>
      <c r="N1" s="258"/>
      <c r="O1" s="4"/>
      <c r="P1" s="258"/>
      <c r="Q1" s="210"/>
      <c r="R1" s="248"/>
      <c r="S1" s="80"/>
    </row>
    <row r="2" spans="1:19" ht="15">
      <c r="A2" s="5"/>
      <c r="B2" s="5"/>
      <c r="C2" s="5"/>
      <c r="D2" s="5"/>
      <c r="E2" s="5"/>
      <c r="F2" s="5"/>
      <c r="G2" s="5"/>
      <c r="H2" s="5"/>
      <c r="I2" s="6"/>
      <c r="J2" s="326"/>
      <c r="K2" s="258"/>
      <c r="L2" s="326"/>
      <c r="M2" s="326"/>
      <c r="N2" s="258"/>
      <c r="O2" s="324"/>
      <c r="P2" s="258"/>
      <c r="Q2" s="258"/>
      <c r="R2" s="78"/>
      <c r="S2" s="81"/>
    </row>
    <row r="3" spans="1:19" ht="20.25" customHeight="1">
      <c r="A3" s="324" t="s">
        <v>2</v>
      </c>
      <c r="B3" s="7"/>
      <c r="C3" s="7"/>
      <c r="D3" s="7"/>
      <c r="E3" s="323" t="s">
        <v>3</v>
      </c>
      <c r="F3" s="9"/>
      <c r="G3" s="9"/>
      <c r="H3" s="9"/>
      <c r="I3" s="7"/>
      <c r="J3" s="326"/>
      <c r="K3" s="258"/>
      <c r="L3" s="80"/>
      <c r="M3" s="80"/>
      <c r="N3" s="258"/>
      <c r="O3" s="327"/>
      <c r="P3" s="328" t="s">
        <v>4</v>
      </c>
      <c r="Q3" s="328"/>
      <c r="R3" s="290"/>
      <c r="S3" s="81"/>
    </row>
    <row r="4" spans="1:19" ht="19.5">
      <c r="A4" s="324" t="s">
        <v>5</v>
      </c>
      <c r="B4" s="5"/>
      <c r="C4" s="5"/>
      <c r="D4" s="5"/>
      <c r="E4" s="323" t="s">
        <v>122</v>
      </c>
      <c r="F4" s="9"/>
      <c r="G4" s="9"/>
      <c r="H4" s="9"/>
      <c r="I4" s="10"/>
      <c r="J4" s="211"/>
      <c r="K4" s="81"/>
      <c r="L4" s="211"/>
      <c r="M4" s="211"/>
      <c r="N4" s="81"/>
      <c r="O4" s="5"/>
      <c r="P4" s="276" t="s">
        <v>6</v>
      </c>
      <c r="Q4" s="276"/>
      <c r="R4" s="291"/>
      <c r="S4" s="81"/>
    </row>
    <row r="5" spans="1:19" ht="20.25" customHeight="1">
      <c r="A5" s="325" t="s">
        <v>7</v>
      </c>
      <c r="B5" s="11"/>
      <c r="C5" s="11"/>
      <c r="D5" s="11"/>
      <c r="E5" s="323" t="s">
        <v>123</v>
      </c>
      <c r="F5" s="8"/>
      <c r="G5" s="8"/>
      <c r="H5" s="8"/>
      <c r="I5" s="12"/>
      <c r="J5" s="212"/>
      <c r="K5" s="229"/>
      <c r="L5" s="211"/>
      <c r="M5" s="211"/>
      <c r="N5" s="81"/>
      <c r="O5" s="5"/>
      <c r="P5" s="276" t="s">
        <v>8</v>
      </c>
      <c r="Q5" s="276"/>
      <c r="R5" s="78"/>
      <c r="S5" s="81"/>
    </row>
    <row r="6" spans="1:19" ht="20.25" customHeight="1">
      <c r="A6" s="325" t="s">
        <v>9</v>
      </c>
      <c r="B6" s="11"/>
      <c r="C6" s="11"/>
      <c r="D6" s="11"/>
      <c r="E6" s="323" t="s">
        <v>90</v>
      </c>
      <c r="F6" s="9"/>
      <c r="G6" s="9"/>
      <c r="H6" s="9"/>
      <c r="I6" s="13"/>
      <c r="J6" s="213"/>
      <c r="K6" s="230"/>
      <c r="L6" s="211"/>
      <c r="M6" s="211"/>
      <c r="N6" s="81"/>
      <c r="O6" s="5"/>
      <c r="P6" s="81"/>
      <c r="Q6" s="81"/>
      <c r="R6" s="78"/>
      <c r="S6" s="81"/>
    </row>
    <row r="7" spans="1:19" ht="20.25" customHeight="1">
      <c r="A7" s="325" t="s">
        <v>10</v>
      </c>
      <c r="B7" s="11"/>
      <c r="C7" s="11"/>
      <c r="D7" s="11"/>
      <c r="E7" s="323" t="s">
        <v>11</v>
      </c>
      <c r="F7" s="9"/>
      <c r="G7" s="9"/>
      <c r="H7" s="9"/>
      <c r="I7" s="13"/>
      <c r="J7" s="213"/>
      <c r="K7" s="230"/>
      <c r="L7" s="211"/>
      <c r="M7" s="211"/>
      <c r="N7" s="81"/>
      <c r="O7" s="5"/>
      <c r="P7" s="81"/>
      <c r="Q7" s="81"/>
      <c r="R7" s="78"/>
      <c r="S7" s="81"/>
    </row>
    <row r="8" spans="1:19" ht="15" thickBot="1">
      <c r="A8" s="11"/>
      <c r="B8" s="11"/>
      <c r="C8" s="11"/>
      <c r="D8" s="11"/>
      <c r="E8" s="8"/>
      <c r="F8" s="9"/>
      <c r="G8" s="9"/>
      <c r="H8" s="9"/>
      <c r="I8" s="13"/>
      <c r="J8" s="213"/>
      <c r="K8" s="230"/>
      <c r="L8" s="211"/>
      <c r="M8" s="211"/>
      <c r="N8" s="81"/>
      <c r="O8" s="5"/>
      <c r="P8" s="81"/>
      <c r="Q8" s="81"/>
      <c r="R8" s="78"/>
      <c r="S8" s="81"/>
    </row>
    <row r="9" spans="1:19" ht="18.75" thickBot="1" thickTop="1">
      <c r="A9" s="14"/>
      <c r="B9" s="14"/>
      <c r="C9" s="14"/>
      <c r="D9" s="14"/>
      <c r="E9" s="14" t="s">
        <v>12</v>
      </c>
      <c r="F9" s="15"/>
      <c r="G9" s="9"/>
      <c r="H9" s="15"/>
      <c r="I9" s="628" t="s">
        <v>13</v>
      </c>
      <c r="J9" s="629"/>
      <c r="K9" s="629"/>
      <c r="L9" s="629"/>
      <c r="M9" s="629"/>
      <c r="N9" s="630"/>
      <c r="O9" s="16"/>
      <c r="P9" s="631" t="s">
        <v>14</v>
      </c>
      <c r="Q9" s="632"/>
      <c r="R9" s="633"/>
      <c r="S9" s="82"/>
    </row>
    <row r="10" spans="1:19" ht="15" thickBot="1" thickTop="1">
      <c r="A10" s="11"/>
      <c r="B10" s="11"/>
      <c r="C10" s="11"/>
      <c r="D10" s="11"/>
      <c r="E10" s="11"/>
      <c r="F10" s="9"/>
      <c r="G10" s="9"/>
      <c r="H10" s="9"/>
      <c r="I10" s="13"/>
      <c r="J10" s="213"/>
      <c r="K10" s="230"/>
      <c r="L10" s="211"/>
      <c r="M10" s="211"/>
      <c r="N10" s="81"/>
      <c r="O10" s="5"/>
      <c r="P10" s="81"/>
      <c r="Q10" s="81"/>
      <c r="R10" s="78"/>
      <c r="S10" s="81"/>
    </row>
    <row r="11" spans="1:19" ht="37.5" customHeight="1" thickBot="1">
      <c r="A11" s="634" t="s">
        <v>101</v>
      </c>
      <c r="B11" s="635"/>
      <c r="C11" s="635"/>
      <c r="D11" s="636"/>
      <c r="E11" s="643" t="s">
        <v>15</v>
      </c>
      <c r="F11" s="644"/>
      <c r="G11" s="645"/>
      <c r="H11" s="17"/>
      <c r="I11" s="298" t="s">
        <v>16</v>
      </c>
      <c r="J11" s="263" t="s">
        <v>17</v>
      </c>
      <c r="K11" s="277" t="s">
        <v>18</v>
      </c>
      <c r="L11" s="303" t="s">
        <v>19</v>
      </c>
      <c r="M11" s="249"/>
      <c r="N11" s="249" t="s">
        <v>20</v>
      </c>
      <c r="O11" s="17"/>
      <c r="P11" s="263" t="s">
        <v>21</v>
      </c>
      <c r="Q11" s="277" t="s">
        <v>16</v>
      </c>
      <c r="R11" s="303" t="s">
        <v>22</v>
      </c>
      <c r="S11" s="83"/>
    </row>
    <row r="12" spans="1:19" ht="45" customHeight="1">
      <c r="A12" s="637"/>
      <c r="B12" s="638"/>
      <c r="C12" s="638"/>
      <c r="D12" s="639"/>
      <c r="E12" s="646" t="s">
        <v>23</v>
      </c>
      <c r="F12" s="646" t="s">
        <v>24</v>
      </c>
      <c r="G12" s="646" t="s">
        <v>25</v>
      </c>
      <c r="H12" s="17"/>
      <c r="I12" s="297" t="s">
        <v>172</v>
      </c>
      <c r="J12" s="214" t="s">
        <v>172</v>
      </c>
      <c r="K12" s="301"/>
      <c r="L12" s="304"/>
      <c r="M12" s="250" t="s">
        <v>118</v>
      </c>
      <c r="N12" s="250"/>
      <c r="O12" s="18"/>
      <c r="P12" s="214" t="s">
        <v>173</v>
      </c>
      <c r="Q12" s="278"/>
      <c r="R12" s="304"/>
      <c r="S12" s="83"/>
    </row>
    <row r="13" spans="1:19" ht="24.75" customHeight="1" thickBot="1">
      <c r="A13" s="640"/>
      <c r="B13" s="641"/>
      <c r="C13" s="641"/>
      <c r="D13" s="642"/>
      <c r="E13" s="647"/>
      <c r="F13" s="647"/>
      <c r="G13" s="647"/>
      <c r="H13" s="19"/>
      <c r="I13" s="299" t="s">
        <v>26</v>
      </c>
      <c r="J13" s="300" t="s">
        <v>27</v>
      </c>
      <c r="K13" s="302" t="s">
        <v>28</v>
      </c>
      <c r="L13" s="305" t="s">
        <v>29</v>
      </c>
      <c r="M13" s="251"/>
      <c r="N13" s="251" t="s">
        <v>30</v>
      </c>
      <c r="O13" s="20"/>
      <c r="P13" s="264" t="s">
        <v>31</v>
      </c>
      <c r="Q13" s="279" t="s">
        <v>32</v>
      </c>
      <c r="R13" s="306" t="s">
        <v>33</v>
      </c>
      <c r="S13" s="84"/>
    </row>
    <row r="14" spans="1:19" ht="50.25" customHeight="1">
      <c r="A14" s="648" t="s">
        <v>102</v>
      </c>
      <c r="B14" s="649"/>
      <c r="C14" s="649"/>
      <c r="D14" s="650"/>
      <c r="E14" s="190"/>
      <c r="F14" s="205"/>
      <c r="G14" s="307"/>
      <c r="H14" s="21"/>
      <c r="I14" s="184"/>
      <c r="J14" s="222"/>
      <c r="K14" s="252"/>
      <c r="L14" s="231"/>
      <c r="M14" s="234"/>
      <c r="N14" s="234"/>
      <c r="O14" s="21"/>
      <c r="P14" s="578"/>
      <c r="Q14" s="580"/>
      <c r="R14" s="566"/>
      <c r="S14" s="79"/>
    </row>
    <row r="15" spans="1:18" ht="15" customHeight="1">
      <c r="A15" s="611" t="s">
        <v>85</v>
      </c>
      <c r="B15" s="582"/>
      <c r="C15" s="582"/>
      <c r="D15" s="612"/>
      <c r="E15" s="190">
        <v>62180</v>
      </c>
      <c r="F15" s="206">
        <v>10003</v>
      </c>
      <c r="G15" s="308"/>
      <c r="H15" s="21"/>
      <c r="I15" s="201"/>
      <c r="J15" s="217">
        <v>0</v>
      </c>
      <c r="K15" s="238">
        <f aca="true" t="shared" si="0" ref="K15:K25">J15</f>
        <v>0</v>
      </c>
      <c r="L15" s="232">
        <f>I15-K15</f>
        <v>0</v>
      </c>
      <c r="M15" s="232">
        <v>0</v>
      </c>
      <c r="N15" s="232">
        <f aca="true" t="shared" si="1" ref="N15:N25">-L15</f>
        <v>0</v>
      </c>
      <c r="O15" s="70"/>
      <c r="P15" s="578">
        <f>'Workplan budget Q1 - 2017'!M13</f>
        <v>0</v>
      </c>
      <c r="Q15" s="255">
        <f>P15</f>
        <v>0</v>
      </c>
      <c r="R15" s="260">
        <f>Q15</f>
        <v>0</v>
      </c>
    </row>
    <row r="16" spans="1:19" ht="15" customHeight="1">
      <c r="A16" s="611" t="s">
        <v>34</v>
      </c>
      <c r="B16" s="582"/>
      <c r="C16" s="582"/>
      <c r="D16" s="612"/>
      <c r="E16" s="190">
        <v>62180</v>
      </c>
      <c r="F16" s="207">
        <v>10003</v>
      </c>
      <c r="G16" s="309" t="s">
        <v>35</v>
      </c>
      <c r="H16" s="21"/>
      <c r="I16" s="201">
        <v>280000</v>
      </c>
      <c r="J16" s="217">
        <f>'Expenditure break down Q4 2016'!F7</f>
        <v>0</v>
      </c>
      <c r="K16" s="238">
        <f t="shared" si="0"/>
        <v>0</v>
      </c>
      <c r="L16" s="232">
        <f aca="true" t="shared" si="2" ref="L16:L25">I16-K16</f>
        <v>280000</v>
      </c>
      <c r="M16" s="232"/>
      <c r="N16" s="232">
        <f t="shared" si="1"/>
        <v>-280000</v>
      </c>
      <c r="O16" s="70"/>
      <c r="P16" s="579">
        <f>'Workplan budget Q1 - 2017'!C13</f>
        <v>322000</v>
      </c>
      <c r="Q16" s="255">
        <f aca="true" t="shared" si="3" ref="Q16:Q26">P16</f>
        <v>322000</v>
      </c>
      <c r="R16" s="260">
        <f aca="true" t="shared" si="4" ref="R16:R26">Q16</f>
        <v>322000</v>
      </c>
      <c r="S16" s="79"/>
    </row>
    <row r="17" spans="1:19" ht="15" customHeight="1">
      <c r="A17" s="611" t="s">
        <v>103</v>
      </c>
      <c r="B17" s="582"/>
      <c r="C17" s="582"/>
      <c r="D17" s="612"/>
      <c r="E17" s="190">
        <v>62180</v>
      </c>
      <c r="F17" s="208">
        <v>10003</v>
      </c>
      <c r="G17" s="310" t="s">
        <v>104</v>
      </c>
      <c r="H17" s="22"/>
      <c r="I17" s="201">
        <v>50000</v>
      </c>
      <c r="J17" s="217">
        <f>'Expenditure break down Q4 2016'!F15+'Expenditure break down Q4 2016'!F16</f>
        <v>138957.36</v>
      </c>
      <c r="K17" s="238">
        <f t="shared" si="0"/>
        <v>138957.36</v>
      </c>
      <c r="L17" s="232">
        <f t="shared" si="2"/>
        <v>-88957.35999999999</v>
      </c>
      <c r="M17" s="232">
        <f>358.69+358.69+823.35+508.7+3286.28+1278.26+548.9+358.69+5973.91+375</f>
        <v>13870.47</v>
      </c>
      <c r="N17" s="232">
        <f t="shared" si="1"/>
        <v>88957.35999999999</v>
      </c>
      <c r="O17" s="72"/>
      <c r="P17" s="576">
        <f>'Workplan budget Q1 - 2017'!I13</f>
        <v>0</v>
      </c>
      <c r="Q17" s="255">
        <f t="shared" si="3"/>
        <v>0</v>
      </c>
      <c r="R17" s="260">
        <f t="shared" si="4"/>
        <v>0</v>
      </c>
      <c r="S17" s="85"/>
    </row>
    <row r="18" spans="1:19" ht="15" customHeight="1">
      <c r="A18" s="651" t="s">
        <v>36</v>
      </c>
      <c r="B18" s="652"/>
      <c r="C18" s="652"/>
      <c r="D18" s="653"/>
      <c r="E18" s="190">
        <v>62180</v>
      </c>
      <c r="F18" s="208">
        <v>10003</v>
      </c>
      <c r="G18" s="310" t="s">
        <v>37</v>
      </c>
      <c r="H18" s="22"/>
      <c r="I18" s="201">
        <v>80000</v>
      </c>
      <c r="J18" s="217">
        <f>'Expenditure break down Q4 2016'!F9+'Expenditure break down Q4 2016'!F8</f>
        <v>101543.95</v>
      </c>
      <c r="K18" s="238">
        <f t="shared" si="0"/>
        <v>101543.95</v>
      </c>
      <c r="L18" s="232">
        <f t="shared" si="2"/>
        <v>-21543.949999999997</v>
      </c>
      <c r="M18" s="232"/>
      <c r="N18" s="232">
        <f t="shared" si="1"/>
        <v>21543.949999999997</v>
      </c>
      <c r="O18" s="72"/>
      <c r="P18" s="576">
        <f>'Workplan budget Q1 - 2017'!E13</f>
        <v>50000</v>
      </c>
      <c r="Q18" s="255">
        <f t="shared" si="3"/>
        <v>50000</v>
      </c>
      <c r="R18" s="260">
        <f t="shared" si="4"/>
        <v>50000</v>
      </c>
      <c r="S18" s="85"/>
    </row>
    <row r="19" spans="1:19" ht="15" customHeight="1">
      <c r="A19" s="611" t="s">
        <v>105</v>
      </c>
      <c r="B19" s="582"/>
      <c r="C19" s="582"/>
      <c r="D19" s="612"/>
      <c r="E19" s="190">
        <v>62180</v>
      </c>
      <c r="F19" s="207">
        <v>10003</v>
      </c>
      <c r="G19" s="310" t="s">
        <v>106</v>
      </c>
      <c r="H19" s="22"/>
      <c r="I19" s="201">
        <v>30000</v>
      </c>
      <c r="J19" s="217">
        <f>'Expenditure break down Q4 2016'!F10</f>
        <v>169632</v>
      </c>
      <c r="K19" s="238">
        <f t="shared" si="0"/>
        <v>169632</v>
      </c>
      <c r="L19" s="232">
        <f t="shared" si="2"/>
        <v>-139632</v>
      </c>
      <c r="M19" s="232">
        <f>21252</f>
        <v>21252</v>
      </c>
      <c r="N19" s="232">
        <f t="shared" si="1"/>
        <v>139632</v>
      </c>
      <c r="O19" s="72"/>
      <c r="P19" s="576">
        <f>'Workplan budget Q1 - 2017'!F13</f>
        <v>0</v>
      </c>
      <c r="Q19" s="255">
        <f t="shared" si="3"/>
        <v>0</v>
      </c>
      <c r="R19" s="260">
        <f t="shared" si="4"/>
        <v>0</v>
      </c>
      <c r="S19" s="85"/>
    </row>
    <row r="20" spans="1:19" ht="15" customHeight="1">
      <c r="A20" s="611" t="s">
        <v>107</v>
      </c>
      <c r="B20" s="582"/>
      <c r="C20" s="582"/>
      <c r="D20" s="612"/>
      <c r="E20" s="190">
        <v>62180</v>
      </c>
      <c r="F20" s="208">
        <v>10003</v>
      </c>
      <c r="G20" s="310" t="s">
        <v>72</v>
      </c>
      <c r="H20" s="22"/>
      <c r="I20" s="201">
        <v>1064112.8</v>
      </c>
      <c r="J20" s="217">
        <f>'Expenditure break down Q4 2016'!F12</f>
        <v>1059112.81</v>
      </c>
      <c r="K20" s="238">
        <f t="shared" si="0"/>
        <v>1059112.81</v>
      </c>
      <c r="L20" s="232">
        <f t="shared" si="2"/>
        <v>4999.989999999991</v>
      </c>
      <c r="M20" s="232"/>
      <c r="N20" s="232">
        <f t="shared" si="1"/>
        <v>-4999.989999999991</v>
      </c>
      <c r="O20" s="72"/>
      <c r="P20" s="576">
        <f>'Workplan budget Q1 - 2017'!D13</f>
        <v>1300000</v>
      </c>
      <c r="Q20" s="255">
        <f t="shared" si="3"/>
        <v>1300000</v>
      </c>
      <c r="R20" s="260">
        <f t="shared" si="4"/>
        <v>1300000</v>
      </c>
      <c r="S20" s="85"/>
    </row>
    <row r="21" spans="1:19" ht="15" customHeight="1">
      <c r="A21" s="611" t="s">
        <v>108</v>
      </c>
      <c r="B21" s="582"/>
      <c r="C21" s="582"/>
      <c r="D21" s="612"/>
      <c r="E21" s="190">
        <v>62180</v>
      </c>
      <c r="F21" s="208">
        <v>10003</v>
      </c>
      <c r="G21" s="310" t="s">
        <v>40</v>
      </c>
      <c r="H21" s="22"/>
      <c r="I21" s="201">
        <v>62000</v>
      </c>
      <c r="J21" s="217">
        <f>'Expenditure break down Q4 2016'!F13</f>
        <v>53468</v>
      </c>
      <c r="K21" s="238">
        <f t="shared" si="0"/>
        <v>53468</v>
      </c>
      <c r="L21" s="232">
        <f t="shared" si="2"/>
        <v>8532</v>
      </c>
      <c r="M21" s="232">
        <f>688.59+1349.18+802.79+1345.42+1064.5+1347.3</f>
        <v>6597.78</v>
      </c>
      <c r="N21" s="232">
        <f t="shared" si="1"/>
        <v>-8532</v>
      </c>
      <c r="O21" s="72"/>
      <c r="P21" s="576">
        <f>'Workplan budget Q1 - 2017'!J13</f>
        <v>30000</v>
      </c>
      <c r="Q21" s="255">
        <f t="shared" si="3"/>
        <v>30000</v>
      </c>
      <c r="R21" s="260">
        <f t="shared" si="4"/>
        <v>30000</v>
      </c>
      <c r="S21" s="85"/>
    </row>
    <row r="22" spans="1:19" ht="15" customHeight="1">
      <c r="A22" s="593" t="s">
        <v>109</v>
      </c>
      <c r="B22" s="594"/>
      <c r="C22" s="594"/>
      <c r="D22" s="595"/>
      <c r="E22" s="190">
        <v>62180</v>
      </c>
      <c r="F22" s="208">
        <v>10003</v>
      </c>
      <c r="G22" s="310" t="s">
        <v>45</v>
      </c>
      <c r="H22" s="22"/>
      <c r="I22" s="202">
        <v>10000</v>
      </c>
      <c r="J22" s="218">
        <f>'Expenditure break down Q4 2016'!F14</f>
        <v>44036.009999999995</v>
      </c>
      <c r="K22" s="238">
        <f t="shared" si="0"/>
        <v>44036.009999999995</v>
      </c>
      <c r="L22" s="232">
        <f t="shared" si="2"/>
        <v>-34036.009999999995</v>
      </c>
      <c r="M22" s="232">
        <f>2173.05</f>
        <v>2173.05</v>
      </c>
      <c r="N22" s="235">
        <f t="shared" si="1"/>
        <v>34036.009999999995</v>
      </c>
      <c r="O22" s="72"/>
      <c r="P22" s="574">
        <f>'Workplan budget Q1 - 2017'!L13</f>
        <v>30000</v>
      </c>
      <c r="Q22" s="232">
        <f aca="true" t="shared" si="5" ref="Q22:R25">P22</f>
        <v>30000</v>
      </c>
      <c r="R22" s="451">
        <f t="shared" si="5"/>
        <v>30000</v>
      </c>
      <c r="S22" s="85"/>
    </row>
    <row r="23" spans="1:19" s="407" customFormat="1" ht="15" customHeight="1">
      <c r="A23" s="664" t="s">
        <v>352</v>
      </c>
      <c r="B23" s="665"/>
      <c r="C23" s="665"/>
      <c r="D23" s="661"/>
      <c r="E23" s="190">
        <v>62180</v>
      </c>
      <c r="F23" s="572">
        <v>10003</v>
      </c>
      <c r="G23" s="573" t="s">
        <v>38</v>
      </c>
      <c r="H23" s="22"/>
      <c r="I23" s="202"/>
      <c r="J23" s="218"/>
      <c r="K23" s="238"/>
      <c r="L23" s="232"/>
      <c r="M23" s="235"/>
      <c r="N23" s="235"/>
      <c r="O23" s="72"/>
      <c r="P23" s="574">
        <f>'Workplan budget Q1 - 2017'!G13</f>
        <v>35000</v>
      </c>
      <c r="Q23" s="232">
        <f t="shared" si="5"/>
        <v>35000</v>
      </c>
      <c r="R23" s="451">
        <f t="shared" si="5"/>
        <v>35000</v>
      </c>
      <c r="S23" s="85"/>
    </row>
    <row r="24" spans="1:19" s="407" customFormat="1" ht="15" customHeight="1">
      <c r="A24" s="611" t="s">
        <v>353</v>
      </c>
      <c r="B24" s="582"/>
      <c r="C24" s="582"/>
      <c r="D24" s="612"/>
      <c r="E24" s="190">
        <v>62180</v>
      </c>
      <c r="F24" s="572">
        <v>10003</v>
      </c>
      <c r="G24" s="573" t="s">
        <v>73</v>
      </c>
      <c r="H24" s="22"/>
      <c r="I24" s="202"/>
      <c r="J24" s="218"/>
      <c r="K24" s="238"/>
      <c r="L24" s="232"/>
      <c r="M24" s="235"/>
      <c r="N24" s="235"/>
      <c r="O24" s="72"/>
      <c r="P24" s="574">
        <f>'Workplan budget Q1 - 2017'!P13</f>
        <v>200000</v>
      </c>
      <c r="Q24" s="232">
        <f t="shared" si="5"/>
        <v>200000</v>
      </c>
      <c r="R24" s="451">
        <f t="shared" si="5"/>
        <v>200000</v>
      </c>
      <c r="S24" s="85"/>
    </row>
    <row r="25" spans="1:19" ht="15" customHeight="1" thickBot="1">
      <c r="A25" s="593" t="s">
        <v>116</v>
      </c>
      <c r="B25" s="594"/>
      <c r="C25" s="594"/>
      <c r="D25" s="595"/>
      <c r="E25" s="204">
        <v>62180</v>
      </c>
      <c r="F25" s="329">
        <v>10003</v>
      </c>
      <c r="G25" s="311" t="s">
        <v>41</v>
      </c>
      <c r="H25" s="22"/>
      <c r="I25" s="202">
        <v>25000</v>
      </c>
      <c r="J25" s="223">
        <f>'Expenditure break down Q4 2016'!F17</f>
        <v>25325.510000000002</v>
      </c>
      <c r="K25" s="238">
        <f t="shared" si="0"/>
        <v>25325.510000000002</v>
      </c>
      <c r="L25" s="232">
        <f t="shared" si="2"/>
        <v>-325.51000000000204</v>
      </c>
      <c r="M25" s="282"/>
      <c r="N25" s="235">
        <f t="shared" si="1"/>
        <v>325.51000000000204</v>
      </c>
      <c r="O25" s="72"/>
      <c r="P25" s="574">
        <f>'Workplan budget Q1 - 2017'!O13</f>
        <v>25000</v>
      </c>
      <c r="Q25" s="281">
        <f t="shared" si="5"/>
        <v>25000</v>
      </c>
      <c r="R25" s="451">
        <f t="shared" si="5"/>
        <v>25000</v>
      </c>
      <c r="S25" s="85"/>
    </row>
    <row r="26" spans="1:19" s="189" customFormat="1" ht="15.75" customHeight="1" thickBot="1">
      <c r="A26" s="596" t="s">
        <v>42</v>
      </c>
      <c r="B26" s="597"/>
      <c r="C26" s="597"/>
      <c r="D26" s="598"/>
      <c r="E26" s="185"/>
      <c r="F26" s="203"/>
      <c r="G26" s="209"/>
      <c r="H26" s="187"/>
      <c r="I26" s="74">
        <f aca="true" t="shared" si="6" ref="I26:N26">SUM(I15:I25)</f>
        <v>1601112.8</v>
      </c>
      <c r="J26" s="215">
        <f t="shared" si="6"/>
        <v>1592075.6400000001</v>
      </c>
      <c r="K26" s="239">
        <f t="shared" si="6"/>
        <v>1592075.6400000001</v>
      </c>
      <c r="L26" s="239">
        <f t="shared" si="6"/>
        <v>9037.159999999996</v>
      </c>
      <c r="M26" s="239">
        <f>SUM(M15:M25)</f>
        <v>43893.3</v>
      </c>
      <c r="N26" s="239">
        <f t="shared" si="6"/>
        <v>-9037.159999999996</v>
      </c>
      <c r="O26" s="126"/>
      <c r="P26" s="215">
        <f>SUM(P15:P25)</f>
        <v>1992000</v>
      </c>
      <c r="Q26" s="236">
        <f t="shared" si="3"/>
        <v>1992000</v>
      </c>
      <c r="R26" s="236">
        <f t="shared" si="4"/>
        <v>1992000</v>
      </c>
      <c r="S26" s="188"/>
    </row>
    <row r="27" spans="1:19" ht="60.75" customHeight="1" thickBot="1">
      <c r="A27" s="596" t="s">
        <v>110</v>
      </c>
      <c r="B27" s="597"/>
      <c r="C27" s="597"/>
      <c r="D27" s="598"/>
      <c r="E27" s="61"/>
      <c r="F27" s="62"/>
      <c r="G27" s="63"/>
      <c r="H27" s="22"/>
      <c r="I27" s="73"/>
      <c r="J27" s="216"/>
      <c r="K27" s="233"/>
      <c r="L27" s="253"/>
      <c r="M27" s="253"/>
      <c r="N27" s="254"/>
      <c r="O27" s="72"/>
      <c r="P27" s="266"/>
      <c r="Q27" s="280"/>
      <c r="R27" s="280"/>
      <c r="S27" s="85"/>
    </row>
    <row r="28" spans="1:19" ht="14.25">
      <c r="A28" s="658" t="s">
        <v>36</v>
      </c>
      <c r="B28" s="659"/>
      <c r="C28" s="659"/>
      <c r="D28" s="660"/>
      <c r="E28" s="64">
        <v>62180</v>
      </c>
      <c r="F28" s="59">
        <v>10003</v>
      </c>
      <c r="G28" s="60" t="s">
        <v>37</v>
      </c>
      <c r="H28" s="22"/>
      <c r="I28" s="71">
        <v>80000</v>
      </c>
      <c r="J28" s="220">
        <f>'Expenditure break down Q4 2016'!F20+'Expenditure break down Q4 2016'!F21+'Expenditure break down Q4 2016'!F22</f>
        <v>47662.6</v>
      </c>
      <c r="K28" s="312">
        <f>J28</f>
        <v>47662.6</v>
      </c>
      <c r="L28" s="234">
        <f aca="true" t="shared" si="7" ref="L28:L39">I28-K28</f>
        <v>32337.4</v>
      </c>
      <c r="M28" s="445"/>
      <c r="N28" s="234">
        <f>-L28</f>
        <v>-32337.4</v>
      </c>
      <c r="O28" s="72"/>
      <c r="P28" s="575">
        <f>'Workplan budget Q1 - 2017'!E16</f>
        <v>45000</v>
      </c>
      <c r="Q28" s="234">
        <f>P28</f>
        <v>45000</v>
      </c>
      <c r="R28" s="259">
        <f>Q28</f>
        <v>45000</v>
      </c>
      <c r="S28" s="85"/>
    </row>
    <row r="29" spans="1:19" ht="15" customHeight="1">
      <c r="A29" s="611" t="s">
        <v>43</v>
      </c>
      <c r="B29" s="582"/>
      <c r="C29" s="582"/>
      <c r="D29" s="612"/>
      <c r="E29" s="64">
        <v>62180</v>
      </c>
      <c r="F29" s="59">
        <v>10003</v>
      </c>
      <c r="G29" s="55" t="s">
        <v>44</v>
      </c>
      <c r="H29" s="22"/>
      <c r="I29" s="71">
        <v>30000</v>
      </c>
      <c r="J29" s="217">
        <v>0</v>
      </c>
      <c r="K29" s="313">
        <f aca="true" t="shared" si="8" ref="K29:K35">J29</f>
        <v>0</v>
      </c>
      <c r="L29" s="232">
        <f t="shared" si="7"/>
        <v>30000</v>
      </c>
      <c r="M29" s="238"/>
      <c r="N29" s="232">
        <f aca="true" t="shared" si="9" ref="N29:N39">-L29</f>
        <v>-30000</v>
      </c>
      <c r="O29" s="72"/>
      <c r="P29" s="576">
        <f>'Workplan budget Q1 - 2017'!K25</f>
        <v>0</v>
      </c>
      <c r="Q29" s="255">
        <f aca="true" t="shared" si="10" ref="Q29:Q35">P29</f>
        <v>0</v>
      </c>
      <c r="R29" s="260">
        <f aca="true" t="shared" si="11" ref="R29:R35">Q29</f>
        <v>0</v>
      </c>
      <c r="S29" s="85"/>
    </row>
    <row r="30" spans="1:19" ht="15" customHeight="1">
      <c r="A30" s="611" t="s">
        <v>105</v>
      </c>
      <c r="B30" s="582"/>
      <c r="C30" s="582"/>
      <c r="D30" s="612"/>
      <c r="E30" s="64">
        <v>62180</v>
      </c>
      <c r="F30" s="56">
        <v>10003</v>
      </c>
      <c r="G30" s="55" t="s">
        <v>106</v>
      </c>
      <c r="H30" s="22"/>
      <c r="I30" s="71">
        <v>40000</v>
      </c>
      <c r="J30" s="217">
        <f>'Expenditure break down Q4 2016'!F24</f>
        <v>10268</v>
      </c>
      <c r="K30" s="313">
        <f t="shared" si="8"/>
        <v>10268</v>
      </c>
      <c r="L30" s="232">
        <f t="shared" si="7"/>
        <v>29732</v>
      </c>
      <c r="M30" s="238"/>
      <c r="N30" s="232">
        <f t="shared" si="9"/>
        <v>-29732</v>
      </c>
      <c r="O30" s="72"/>
      <c r="P30" s="576">
        <f>'Workplan budget Q1 - 2017'!F25</f>
        <v>40000</v>
      </c>
      <c r="Q30" s="255">
        <f t="shared" si="10"/>
        <v>40000</v>
      </c>
      <c r="R30" s="260">
        <f t="shared" si="11"/>
        <v>40000</v>
      </c>
      <c r="S30" s="85"/>
    </row>
    <row r="31" spans="1:19" ht="15" customHeight="1">
      <c r="A31" s="611" t="s">
        <v>85</v>
      </c>
      <c r="B31" s="582"/>
      <c r="C31" s="582"/>
      <c r="D31" s="612"/>
      <c r="E31" s="64">
        <v>62180</v>
      </c>
      <c r="F31" s="59">
        <v>10003</v>
      </c>
      <c r="G31" s="55" t="s">
        <v>80</v>
      </c>
      <c r="H31" s="22"/>
      <c r="I31" s="71">
        <v>50000</v>
      </c>
      <c r="J31" s="217">
        <f>'Expenditure break down Q4 2016'!F25</f>
        <v>0</v>
      </c>
      <c r="K31" s="313">
        <f t="shared" si="8"/>
        <v>0</v>
      </c>
      <c r="L31" s="232">
        <f t="shared" si="7"/>
        <v>50000</v>
      </c>
      <c r="M31" s="238"/>
      <c r="N31" s="232">
        <f t="shared" si="9"/>
        <v>-50000</v>
      </c>
      <c r="O31" s="72"/>
      <c r="P31" s="576">
        <f>'Workplan budget Q1 - 2017'!M25</f>
        <v>0</v>
      </c>
      <c r="Q31" s="255">
        <f t="shared" si="10"/>
        <v>0</v>
      </c>
      <c r="R31" s="260">
        <f t="shared" si="11"/>
        <v>0</v>
      </c>
      <c r="S31" s="85"/>
    </row>
    <row r="32" spans="1:19" ht="15" customHeight="1">
      <c r="A32" s="611" t="s">
        <v>34</v>
      </c>
      <c r="B32" s="582"/>
      <c r="C32" s="582"/>
      <c r="D32" s="612"/>
      <c r="E32" s="64">
        <v>62180</v>
      </c>
      <c r="F32" s="59">
        <v>10003</v>
      </c>
      <c r="G32" s="69" t="s">
        <v>35</v>
      </c>
      <c r="H32" s="22"/>
      <c r="I32" s="71">
        <v>1832633.8</v>
      </c>
      <c r="J32" s="217">
        <f>'Expenditure break down Q4 2016'!F26</f>
        <v>1798232.48</v>
      </c>
      <c r="K32" s="313">
        <f t="shared" si="8"/>
        <v>1798232.48</v>
      </c>
      <c r="L32" s="232">
        <f t="shared" si="7"/>
        <v>34401.320000000065</v>
      </c>
      <c r="M32" s="238">
        <f>59347+29298.47+35608.5+29298.47+44040.52+36958.67</f>
        <v>234551.63</v>
      </c>
      <c r="N32" s="232">
        <f t="shared" si="9"/>
        <v>-34401.320000000065</v>
      </c>
      <c r="O32" s="72"/>
      <c r="P32" s="576">
        <f>'Workplan budget Q1 - 2017'!C19</f>
        <v>1300000</v>
      </c>
      <c r="Q32" s="255">
        <f t="shared" si="10"/>
        <v>1300000</v>
      </c>
      <c r="R32" s="260">
        <f t="shared" si="11"/>
        <v>1300000</v>
      </c>
      <c r="S32" s="85"/>
    </row>
    <row r="33" spans="1:19" ht="15" customHeight="1" thickBot="1">
      <c r="A33" s="611" t="s">
        <v>111</v>
      </c>
      <c r="B33" s="582"/>
      <c r="C33" s="582"/>
      <c r="D33" s="612"/>
      <c r="E33" s="64">
        <v>62180</v>
      </c>
      <c r="F33" s="59">
        <v>10003</v>
      </c>
      <c r="G33" s="55" t="s">
        <v>73</v>
      </c>
      <c r="H33" s="22"/>
      <c r="I33" s="71">
        <v>60000</v>
      </c>
      <c r="J33" s="217"/>
      <c r="K33" s="313">
        <f t="shared" si="8"/>
        <v>0</v>
      </c>
      <c r="L33" s="232">
        <f t="shared" si="7"/>
        <v>60000</v>
      </c>
      <c r="M33" s="238"/>
      <c r="N33" s="232">
        <f t="shared" si="9"/>
        <v>-60000</v>
      </c>
      <c r="O33" s="72"/>
      <c r="P33" s="576">
        <f>'Workplan budget Q1 - 2017'!P25</f>
        <v>100000</v>
      </c>
      <c r="Q33" s="255">
        <f t="shared" si="10"/>
        <v>100000</v>
      </c>
      <c r="R33" s="260">
        <f t="shared" si="11"/>
        <v>100000</v>
      </c>
      <c r="S33" s="85"/>
    </row>
    <row r="34" spans="1:19" ht="15" thickBot="1">
      <c r="A34" s="587" t="s">
        <v>112</v>
      </c>
      <c r="B34" s="588"/>
      <c r="C34" s="588"/>
      <c r="D34" s="589"/>
      <c r="E34" s="64">
        <v>62180</v>
      </c>
      <c r="F34" s="59">
        <v>10003</v>
      </c>
      <c r="G34" s="55" t="s">
        <v>104</v>
      </c>
      <c r="H34" s="22"/>
      <c r="I34" s="71">
        <v>50000</v>
      </c>
      <c r="J34" s="217">
        <f>'Expenditure break down Q4 2016'!F28</f>
        <v>2020.4299999999994</v>
      </c>
      <c r="K34" s="313">
        <f t="shared" si="8"/>
        <v>2020.4299999999994</v>
      </c>
      <c r="L34" s="232">
        <f t="shared" si="7"/>
        <v>47979.57</v>
      </c>
      <c r="M34" s="238">
        <v>263.53</v>
      </c>
      <c r="N34" s="232">
        <f t="shared" si="9"/>
        <v>-47979.57</v>
      </c>
      <c r="O34" s="72"/>
      <c r="P34" s="576">
        <f>'Workplan budget Q1 - 2017'!I25</f>
        <v>50000</v>
      </c>
      <c r="Q34" s="255">
        <f t="shared" si="10"/>
        <v>50000</v>
      </c>
      <c r="R34" s="260">
        <f t="shared" si="11"/>
        <v>50000</v>
      </c>
      <c r="S34" s="85"/>
    </row>
    <row r="35" spans="1:19" ht="15" customHeight="1">
      <c r="A35" s="614" t="s">
        <v>107</v>
      </c>
      <c r="B35" s="615"/>
      <c r="C35" s="615"/>
      <c r="D35" s="657"/>
      <c r="E35" s="64">
        <v>62180</v>
      </c>
      <c r="F35" s="59">
        <v>10003</v>
      </c>
      <c r="G35" s="55" t="s">
        <v>72</v>
      </c>
      <c r="H35" s="22"/>
      <c r="I35" s="71">
        <v>360000</v>
      </c>
      <c r="J35" s="217">
        <f>'Expenditure break down Q4 2016'!F29</f>
        <v>3200</v>
      </c>
      <c r="K35" s="313">
        <f t="shared" si="8"/>
        <v>3200</v>
      </c>
      <c r="L35" s="232">
        <f t="shared" si="7"/>
        <v>356800</v>
      </c>
      <c r="M35" s="238"/>
      <c r="N35" s="232">
        <f t="shared" si="9"/>
        <v>-356800</v>
      </c>
      <c r="O35" s="72"/>
      <c r="P35" s="576">
        <v>0</v>
      </c>
      <c r="Q35" s="255">
        <f t="shared" si="10"/>
        <v>0</v>
      </c>
      <c r="R35" s="260">
        <f t="shared" si="11"/>
        <v>0</v>
      </c>
      <c r="S35" s="85"/>
    </row>
    <row r="36" spans="1:19" ht="15" customHeight="1" thickBot="1">
      <c r="A36" s="590" t="s">
        <v>113</v>
      </c>
      <c r="B36" s="591"/>
      <c r="C36" s="591"/>
      <c r="D36" s="592"/>
      <c r="E36" s="64">
        <v>62180</v>
      </c>
      <c r="F36" s="59">
        <v>10003</v>
      </c>
      <c r="G36" s="55" t="s">
        <v>38</v>
      </c>
      <c r="H36" s="22"/>
      <c r="I36" s="71">
        <v>150000</v>
      </c>
      <c r="J36" s="217">
        <f>'Expenditure break down Q4 2016'!F30</f>
        <v>252258.38</v>
      </c>
      <c r="K36" s="313">
        <f>J36</f>
        <v>252258.38</v>
      </c>
      <c r="L36" s="232">
        <f t="shared" si="7"/>
        <v>-102258.38</v>
      </c>
      <c r="M36" s="238">
        <f>554.18+2400+2610+2263.5+4191+317.67+147.75+742.5+4191+4873.5</f>
        <v>22291.1</v>
      </c>
      <c r="N36" s="232">
        <f t="shared" si="9"/>
        <v>102258.38</v>
      </c>
      <c r="O36" s="72"/>
      <c r="P36" s="576">
        <f>'Workplan budget Q1 - 2017'!G25</f>
        <v>0</v>
      </c>
      <c r="Q36" s="232">
        <f aca="true" t="shared" si="12" ref="Q36:R40">P36</f>
        <v>0</v>
      </c>
      <c r="R36" s="260">
        <f t="shared" si="12"/>
        <v>0</v>
      </c>
      <c r="S36" s="85"/>
    </row>
    <row r="37" spans="1:19" ht="15" customHeight="1" thickBot="1">
      <c r="A37" s="587" t="s">
        <v>109</v>
      </c>
      <c r="B37" s="588"/>
      <c r="C37" s="588"/>
      <c r="D37" s="589"/>
      <c r="E37" s="64">
        <v>62180</v>
      </c>
      <c r="F37" s="59">
        <v>10003</v>
      </c>
      <c r="G37" s="55" t="s">
        <v>45</v>
      </c>
      <c r="H37" s="22"/>
      <c r="I37" s="71">
        <v>55000</v>
      </c>
      <c r="J37" s="218">
        <f>'Expenditure break down Q4 2016'!F23</f>
        <v>42008.600000000006</v>
      </c>
      <c r="K37" s="369">
        <f>J37</f>
        <v>42008.600000000006</v>
      </c>
      <c r="L37" s="232">
        <f t="shared" si="7"/>
        <v>12991.399999999994</v>
      </c>
      <c r="M37" s="561"/>
      <c r="N37" s="232">
        <f t="shared" si="9"/>
        <v>-12991.399999999994</v>
      </c>
      <c r="O37" s="72"/>
      <c r="P37" s="574">
        <f>'Workplan budget Q1 - 2017'!L25</f>
        <v>30000</v>
      </c>
      <c r="Q37" s="232">
        <f t="shared" si="12"/>
        <v>30000</v>
      </c>
      <c r="R37" s="451">
        <f t="shared" si="12"/>
        <v>30000</v>
      </c>
      <c r="S37" s="85"/>
    </row>
    <row r="38" spans="1:19" s="407" customFormat="1" ht="15" customHeight="1">
      <c r="A38" s="614" t="s">
        <v>108</v>
      </c>
      <c r="B38" s="615"/>
      <c r="C38" s="615"/>
      <c r="D38" s="657"/>
      <c r="E38" s="64">
        <v>62180</v>
      </c>
      <c r="F38" s="59">
        <v>10003</v>
      </c>
      <c r="G38" s="55" t="s">
        <v>40</v>
      </c>
      <c r="H38" s="22"/>
      <c r="I38" s="71"/>
      <c r="J38" s="218"/>
      <c r="K38" s="369"/>
      <c r="L38" s="235"/>
      <c r="M38" s="561"/>
      <c r="N38" s="235"/>
      <c r="O38" s="72"/>
      <c r="P38" s="574">
        <f>'Workplan budget Q1 - 2017'!J25</f>
        <v>30000</v>
      </c>
      <c r="Q38" s="232">
        <f t="shared" si="12"/>
        <v>30000</v>
      </c>
      <c r="R38" s="451">
        <f t="shared" si="12"/>
        <v>30000</v>
      </c>
      <c r="S38" s="85"/>
    </row>
    <row r="39" spans="1:19" ht="15" customHeight="1" thickBot="1">
      <c r="A39" s="593" t="s">
        <v>116</v>
      </c>
      <c r="B39" s="594"/>
      <c r="C39" s="594"/>
      <c r="D39" s="595"/>
      <c r="E39" s="64">
        <v>62180</v>
      </c>
      <c r="F39" s="59">
        <v>10003</v>
      </c>
      <c r="G39" s="55" t="s">
        <v>41</v>
      </c>
      <c r="H39" s="22"/>
      <c r="I39" s="71">
        <v>20000</v>
      </c>
      <c r="J39" s="218">
        <f>'Expenditure break down Q4 2016'!F31</f>
        <v>4381</v>
      </c>
      <c r="K39" s="369">
        <f>J39</f>
        <v>4381</v>
      </c>
      <c r="L39" s="282">
        <f t="shared" si="7"/>
        <v>15619</v>
      </c>
      <c r="M39" s="561">
        <f>546</f>
        <v>546</v>
      </c>
      <c r="N39" s="282">
        <f t="shared" si="9"/>
        <v>-15619</v>
      </c>
      <c r="O39" s="72"/>
      <c r="P39" s="574">
        <f>'Workplan budget Q1 - 2017'!O25</f>
        <v>25000</v>
      </c>
      <c r="Q39" s="281">
        <f t="shared" si="12"/>
        <v>25000</v>
      </c>
      <c r="R39" s="451">
        <f t="shared" si="12"/>
        <v>25000</v>
      </c>
      <c r="S39" s="85"/>
    </row>
    <row r="40" spans="1:19" s="189" customFormat="1" ht="15" customHeight="1" thickBot="1">
      <c r="A40" s="596" t="s">
        <v>42</v>
      </c>
      <c r="B40" s="597"/>
      <c r="C40" s="597"/>
      <c r="D40" s="598"/>
      <c r="E40" s="185"/>
      <c r="F40" s="186"/>
      <c r="G40" s="68"/>
      <c r="H40" s="187"/>
      <c r="I40" s="74">
        <f aca="true" t="shared" si="13" ref="I40:N40">SUM(I28:I39)</f>
        <v>2727633.8</v>
      </c>
      <c r="J40" s="215">
        <f t="shared" si="13"/>
        <v>2160031.49</v>
      </c>
      <c r="K40" s="236">
        <f t="shared" si="13"/>
        <v>2160031.49</v>
      </c>
      <c r="L40" s="453">
        <f t="shared" si="13"/>
        <v>567602.31</v>
      </c>
      <c r="M40" s="236">
        <f t="shared" si="13"/>
        <v>257652.26</v>
      </c>
      <c r="N40" s="453">
        <f t="shared" si="13"/>
        <v>-567602.31</v>
      </c>
      <c r="O40" s="126"/>
      <c r="P40" s="215">
        <f>SUM(P28:P39)</f>
        <v>1620000</v>
      </c>
      <c r="Q40" s="236">
        <f t="shared" si="12"/>
        <v>1620000</v>
      </c>
      <c r="R40" s="236">
        <f t="shared" si="12"/>
        <v>1620000</v>
      </c>
      <c r="S40" s="188"/>
    </row>
    <row r="41" spans="1:19" ht="56.25" customHeight="1" thickBot="1">
      <c r="A41" s="596" t="s">
        <v>114</v>
      </c>
      <c r="B41" s="597"/>
      <c r="C41" s="597"/>
      <c r="D41" s="598"/>
      <c r="E41" s="314"/>
      <c r="F41" s="317"/>
      <c r="G41" s="320"/>
      <c r="H41" s="22"/>
      <c r="I41" s="183"/>
      <c r="J41" s="219"/>
      <c r="K41" s="237"/>
      <c r="L41" s="254"/>
      <c r="M41" s="254"/>
      <c r="N41" s="254"/>
      <c r="O41" s="72"/>
      <c r="P41" s="221"/>
      <c r="Q41" s="280"/>
      <c r="R41" s="280"/>
      <c r="S41" s="85"/>
    </row>
    <row r="42" spans="1:19" ht="14.25">
      <c r="A42" s="614" t="s">
        <v>34</v>
      </c>
      <c r="B42" s="615"/>
      <c r="C42" s="615"/>
      <c r="D42" s="615"/>
      <c r="E42" s="315">
        <v>62180</v>
      </c>
      <c r="F42" s="318">
        <v>10003</v>
      </c>
      <c r="G42" s="321" t="s">
        <v>35</v>
      </c>
      <c r="H42" s="65"/>
      <c r="I42" s="447">
        <v>667095.05</v>
      </c>
      <c r="J42" s="220">
        <f>'Expenditure break down Q4 2016'!F35</f>
        <v>90870</v>
      </c>
      <c r="K42" s="445">
        <f aca="true" t="shared" si="14" ref="K42:K53">J42</f>
        <v>90870</v>
      </c>
      <c r="L42" s="234">
        <f aca="true" t="shared" si="15" ref="L42:L53">I42-K42</f>
        <v>576225.05</v>
      </c>
      <c r="M42" s="445">
        <f>10485</f>
        <v>10485</v>
      </c>
      <c r="N42" s="234">
        <f aca="true" t="shared" si="16" ref="N42:N59">-L42</f>
        <v>-576225.05</v>
      </c>
      <c r="O42" s="127"/>
      <c r="P42" s="220">
        <f>'Workplan budget Q1 - 2017'!C29</f>
        <v>1076225</v>
      </c>
      <c r="Q42" s="259">
        <f>P42</f>
        <v>1076225</v>
      </c>
      <c r="R42" s="234">
        <f>Q42</f>
        <v>1076225</v>
      </c>
      <c r="S42" s="86"/>
    </row>
    <row r="43" spans="1:19" ht="15.75" customHeight="1">
      <c r="A43" s="611" t="s">
        <v>105</v>
      </c>
      <c r="B43" s="582"/>
      <c r="C43" s="582"/>
      <c r="D43" s="582"/>
      <c r="E43" s="316">
        <v>62180</v>
      </c>
      <c r="F43" s="207">
        <v>10003</v>
      </c>
      <c r="G43" s="309" t="s">
        <v>106</v>
      </c>
      <c r="H43" s="22"/>
      <c r="I43" s="448">
        <v>30000</v>
      </c>
      <c r="J43" s="221"/>
      <c r="K43" s="446">
        <f t="shared" si="14"/>
        <v>0</v>
      </c>
      <c r="L43" s="255">
        <f t="shared" si="15"/>
        <v>30000</v>
      </c>
      <c r="M43" s="446"/>
      <c r="N43" s="232">
        <f t="shared" si="16"/>
        <v>-30000</v>
      </c>
      <c r="O43" s="72"/>
      <c r="P43" s="217">
        <f>'Workplan budget Q1 - 2017'!F34</f>
        <v>0</v>
      </c>
      <c r="Q43" s="260">
        <f aca="true" t="shared" si="17" ref="Q43:R58">P43</f>
        <v>0</v>
      </c>
      <c r="R43" s="232">
        <f t="shared" si="17"/>
        <v>0</v>
      </c>
      <c r="S43" s="85"/>
    </row>
    <row r="44" spans="1:19" ht="15" customHeight="1">
      <c r="A44" s="611" t="s">
        <v>36</v>
      </c>
      <c r="B44" s="582"/>
      <c r="C44" s="582"/>
      <c r="D44" s="582"/>
      <c r="E44" s="316">
        <v>62180</v>
      </c>
      <c r="F44" s="207">
        <v>10003</v>
      </c>
      <c r="G44" s="309" t="s">
        <v>37</v>
      </c>
      <c r="H44" s="22"/>
      <c r="I44" s="448">
        <v>80000</v>
      </c>
      <c r="J44" s="217">
        <f>'Expenditure break down Q4 2016'!F36+'Expenditure break down Q4 2016'!F38</f>
        <v>47865.95</v>
      </c>
      <c r="K44" s="446">
        <f t="shared" si="14"/>
        <v>47865.95</v>
      </c>
      <c r="L44" s="255">
        <f t="shared" si="15"/>
        <v>32134.050000000003</v>
      </c>
      <c r="M44" s="446"/>
      <c r="N44" s="232">
        <f t="shared" si="16"/>
        <v>-32134.050000000003</v>
      </c>
      <c r="O44" s="72"/>
      <c r="P44" s="217">
        <f>'Workplan budget Q1 - 2017'!E34</f>
        <v>80000</v>
      </c>
      <c r="Q44" s="260">
        <f t="shared" si="17"/>
        <v>80000</v>
      </c>
      <c r="R44" s="232">
        <f t="shared" si="17"/>
        <v>80000</v>
      </c>
      <c r="S44" s="85"/>
    </row>
    <row r="45" spans="1:19" ht="15" customHeight="1">
      <c r="A45" s="611" t="s">
        <v>112</v>
      </c>
      <c r="B45" s="582"/>
      <c r="C45" s="582"/>
      <c r="D45" s="582"/>
      <c r="E45" s="316">
        <v>62180</v>
      </c>
      <c r="F45" s="207">
        <v>10003</v>
      </c>
      <c r="G45" s="310" t="s">
        <v>104</v>
      </c>
      <c r="H45" s="22"/>
      <c r="I45" s="448">
        <v>50000</v>
      </c>
      <c r="J45" s="217">
        <f>'Expenditure break down Q4 2016'!F41</f>
        <v>29916.25</v>
      </c>
      <c r="K45" s="238">
        <f t="shared" si="14"/>
        <v>29916.25</v>
      </c>
      <c r="L45" s="232">
        <f t="shared" si="15"/>
        <v>20083.75</v>
      </c>
      <c r="M45" s="238"/>
      <c r="N45" s="232">
        <f t="shared" si="16"/>
        <v>-20083.75</v>
      </c>
      <c r="O45" s="72"/>
      <c r="P45" s="217">
        <f>'Workplan budget Q1 - 2017'!I34</f>
        <v>0</v>
      </c>
      <c r="Q45" s="260">
        <f t="shared" si="17"/>
        <v>0</v>
      </c>
      <c r="R45" s="232">
        <f t="shared" si="17"/>
        <v>0</v>
      </c>
      <c r="S45" s="120"/>
    </row>
    <row r="46" spans="1:19" ht="14.25">
      <c r="A46" s="611" t="s">
        <v>43</v>
      </c>
      <c r="B46" s="582"/>
      <c r="C46" s="582"/>
      <c r="D46" s="582"/>
      <c r="E46" s="316">
        <v>62810</v>
      </c>
      <c r="F46" s="207">
        <v>10003</v>
      </c>
      <c r="G46" s="310" t="s">
        <v>44</v>
      </c>
      <c r="H46" s="22"/>
      <c r="I46" s="448"/>
      <c r="J46" s="217">
        <f>'Expenditure break down Q4 2016'!F39</f>
        <v>9073.7</v>
      </c>
      <c r="K46" s="238">
        <f t="shared" si="14"/>
        <v>9073.7</v>
      </c>
      <c r="L46" s="232">
        <f t="shared" si="15"/>
        <v>-9073.7</v>
      </c>
      <c r="M46" s="238">
        <f>1183.53</f>
        <v>1183.53</v>
      </c>
      <c r="N46" s="232">
        <f t="shared" si="16"/>
        <v>9073.7</v>
      </c>
      <c r="O46" s="72"/>
      <c r="P46" s="265">
        <f>'Workplan budget Q1 - 2017'!K34</f>
        <v>0</v>
      </c>
      <c r="Q46" s="260">
        <f t="shared" si="17"/>
        <v>0</v>
      </c>
      <c r="R46" s="232">
        <f t="shared" si="17"/>
        <v>0</v>
      </c>
      <c r="S46" s="85"/>
    </row>
    <row r="47" spans="1:19" s="407" customFormat="1" ht="14.25">
      <c r="A47" s="611" t="s">
        <v>157</v>
      </c>
      <c r="B47" s="582"/>
      <c r="C47" s="582"/>
      <c r="D47" s="582"/>
      <c r="E47" s="316">
        <v>62810</v>
      </c>
      <c r="F47" s="207">
        <v>10003</v>
      </c>
      <c r="G47" s="310" t="s">
        <v>39</v>
      </c>
      <c r="H47" s="22"/>
      <c r="I47" s="448"/>
      <c r="J47" s="217"/>
      <c r="K47" s="238"/>
      <c r="L47" s="232">
        <f t="shared" si="15"/>
        <v>0</v>
      </c>
      <c r="M47" s="238"/>
      <c r="N47" s="232">
        <f t="shared" si="16"/>
        <v>0</v>
      </c>
      <c r="O47" s="72"/>
      <c r="P47" s="265">
        <f>'Workplan budget Q1 - 2017'!H34</f>
        <v>0</v>
      </c>
      <c r="Q47" s="260">
        <f t="shared" si="17"/>
        <v>0</v>
      </c>
      <c r="R47" s="232">
        <f t="shared" si="17"/>
        <v>0</v>
      </c>
      <c r="S47" s="85"/>
    </row>
    <row r="48" spans="1:19" ht="15" customHeight="1">
      <c r="A48" s="611" t="s">
        <v>74</v>
      </c>
      <c r="B48" s="582"/>
      <c r="C48" s="582"/>
      <c r="D48" s="582"/>
      <c r="E48" s="316">
        <v>62810</v>
      </c>
      <c r="F48" s="207">
        <v>10003</v>
      </c>
      <c r="G48" s="310" t="s">
        <v>72</v>
      </c>
      <c r="H48" s="22"/>
      <c r="I48" s="448"/>
      <c r="J48" s="217">
        <f>'Expenditure break down Q4 2016'!F37</f>
        <v>315851.46</v>
      </c>
      <c r="K48" s="238">
        <f t="shared" si="14"/>
        <v>315851.46</v>
      </c>
      <c r="L48" s="232">
        <f t="shared" si="15"/>
        <v>-315851.46</v>
      </c>
      <c r="M48" s="238"/>
      <c r="N48" s="232">
        <f t="shared" si="16"/>
        <v>315851.46</v>
      </c>
      <c r="O48" s="75"/>
      <c r="P48" s="265">
        <f>'Workplan budget Q1 - 2017'!D34</f>
        <v>0</v>
      </c>
      <c r="Q48" s="260">
        <f t="shared" si="17"/>
        <v>0</v>
      </c>
      <c r="R48" s="232">
        <f t="shared" si="17"/>
        <v>0</v>
      </c>
      <c r="S48" s="85"/>
    </row>
    <row r="49" spans="1:19" s="407" customFormat="1" ht="15" customHeight="1">
      <c r="A49" s="594" t="s">
        <v>113</v>
      </c>
      <c r="B49" s="594"/>
      <c r="C49" s="594"/>
      <c r="D49" s="581"/>
      <c r="E49" s="316">
        <v>62180</v>
      </c>
      <c r="F49" s="207">
        <v>10003</v>
      </c>
      <c r="G49" s="310" t="s">
        <v>38</v>
      </c>
      <c r="H49" s="22"/>
      <c r="I49" s="448">
        <v>20000</v>
      </c>
      <c r="J49" s="217">
        <f>'Expenditure break down Q4 2016'!F40</f>
        <v>62578.2</v>
      </c>
      <c r="K49" s="238">
        <f t="shared" si="14"/>
        <v>62578.2</v>
      </c>
      <c r="L49" s="232">
        <f t="shared" si="15"/>
        <v>-42578.2</v>
      </c>
      <c r="M49" s="238">
        <f>2207.48+4203.81+1751.09</f>
        <v>8162.380000000001</v>
      </c>
      <c r="N49" s="232">
        <f t="shared" si="16"/>
        <v>42578.2</v>
      </c>
      <c r="O49" s="75"/>
      <c r="P49" s="265">
        <f>'Workplan budget Q1 - 2017'!G34</f>
        <v>30000</v>
      </c>
      <c r="Q49" s="260">
        <f t="shared" si="17"/>
        <v>30000</v>
      </c>
      <c r="R49" s="232">
        <f t="shared" si="17"/>
        <v>30000</v>
      </c>
      <c r="S49" s="85"/>
    </row>
    <row r="50" spans="1:19" s="407" customFormat="1" ht="15" customHeight="1">
      <c r="A50" s="594" t="s">
        <v>109</v>
      </c>
      <c r="B50" s="594"/>
      <c r="C50" s="594"/>
      <c r="D50" s="581"/>
      <c r="E50" s="316">
        <v>62180</v>
      </c>
      <c r="F50" s="207">
        <v>10003</v>
      </c>
      <c r="G50" s="310" t="s">
        <v>45</v>
      </c>
      <c r="H50" s="22"/>
      <c r="I50" s="448">
        <v>10000</v>
      </c>
      <c r="J50" s="217"/>
      <c r="K50" s="238">
        <f t="shared" si="14"/>
        <v>0</v>
      </c>
      <c r="L50" s="232">
        <f t="shared" si="15"/>
        <v>10000</v>
      </c>
      <c r="M50" s="238"/>
      <c r="N50" s="232">
        <f t="shared" si="16"/>
        <v>-10000</v>
      </c>
      <c r="O50" s="75"/>
      <c r="P50" s="265">
        <f>'Workplan budget Q1 - 2017'!L34</f>
        <v>20000</v>
      </c>
      <c r="Q50" s="260">
        <f t="shared" si="17"/>
        <v>20000</v>
      </c>
      <c r="R50" s="232">
        <f t="shared" si="17"/>
        <v>20000</v>
      </c>
      <c r="S50" s="85"/>
    </row>
    <row r="51" spans="1:19" s="407" customFormat="1" ht="15" customHeight="1">
      <c r="A51" s="581" t="s">
        <v>158</v>
      </c>
      <c r="B51" s="582"/>
      <c r="C51" s="582"/>
      <c r="D51" s="582"/>
      <c r="E51" s="316">
        <v>62180</v>
      </c>
      <c r="F51" s="207">
        <v>10003</v>
      </c>
      <c r="G51" s="441" t="s">
        <v>41</v>
      </c>
      <c r="H51" s="22"/>
      <c r="I51" s="448">
        <v>40000</v>
      </c>
      <c r="J51" s="217"/>
      <c r="K51" s="238">
        <f t="shared" si="14"/>
        <v>0</v>
      </c>
      <c r="L51" s="232">
        <f t="shared" si="15"/>
        <v>40000</v>
      </c>
      <c r="M51" s="238"/>
      <c r="N51" s="232">
        <f t="shared" si="16"/>
        <v>-40000</v>
      </c>
      <c r="O51" s="75"/>
      <c r="P51" s="265"/>
      <c r="Q51" s="260">
        <f t="shared" si="17"/>
        <v>0</v>
      </c>
      <c r="R51" s="232">
        <f t="shared" si="17"/>
        <v>0</v>
      </c>
      <c r="S51" s="85"/>
    </row>
    <row r="52" spans="1:19" s="407" customFormat="1" ht="15" customHeight="1">
      <c r="A52" s="581" t="s">
        <v>117</v>
      </c>
      <c r="B52" s="582"/>
      <c r="C52" s="582"/>
      <c r="D52" s="582"/>
      <c r="E52" s="316">
        <v>62180</v>
      </c>
      <c r="F52" s="207">
        <v>10003</v>
      </c>
      <c r="G52" s="441" t="s">
        <v>73</v>
      </c>
      <c r="H52" s="22"/>
      <c r="I52" s="448"/>
      <c r="J52" s="217"/>
      <c r="K52" s="238">
        <f t="shared" si="14"/>
        <v>0</v>
      </c>
      <c r="L52" s="232">
        <f t="shared" si="15"/>
        <v>0</v>
      </c>
      <c r="M52" s="238"/>
      <c r="N52" s="232">
        <f t="shared" si="16"/>
        <v>0</v>
      </c>
      <c r="O52" s="75"/>
      <c r="P52" s="265"/>
      <c r="Q52" s="260">
        <f t="shared" si="17"/>
        <v>0</v>
      </c>
      <c r="R52" s="232">
        <f t="shared" si="17"/>
        <v>0</v>
      </c>
      <c r="S52" s="85"/>
    </row>
    <row r="53" spans="1:19" s="407" customFormat="1" ht="15" customHeight="1" thickBot="1">
      <c r="A53" s="590" t="s">
        <v>34</v>
      </c>
      <c r="B53" s="591"/>
      <c r="C53" s="591"/>
      <c r="D53" s="591"/>
      <c r="E53" s="443" t="s">
        <v>115</v>
      </c>
      <c r="F53" s="319">
        <v>10003</v>
      </c>
      <c r="G53" s="322" t="s">
        <v>35</v>
      </c>
      <c r="H53" s="22"/>
      <c r="I53" s="444">
        <v>160000</v>
      </c>
      <c r="J53" s="218">
        <f>'Expenditure break down Q4 2016'!F34</f>
        <v>176557.64</v>
      </c>
      <c r="K53" s="238">
        <f t="shared" si="14"/>
        <v>176557.64</v>
      </c>
      <c r="L53" s="232">
        <f t="shared" si="15"/>
        <v>-16557.640000000014</v>
      </c>
      <c r="M53" s="561"/>
      <c r="N53" s="235">
        <f t="shared" si="16"/>
        <v>16557.640000000014</v>
      </c>
      <c r="O53" s="75"/>
      <c r="P53" s="221">
        <f>'Workplan budget Q1 - 2017'!C31</f>
        <v>160000</v>
      </c>
      <c r="Q53" s="260">
        <f t="shared" si="17"/>
        <v>160000</v>
      </c>
      <c r="R53" s="232">
        <f t="shared" si="17"/>
        <v>160000</v>
      </c>
      <c r="S53" s="85"/>
    </row>
    <row r="54" spans="1:19" ht="15" customHeight="1" thickBot="1">
      <c r="A54" s="654" t="s">
        <v>306</v>
      </c>
      <c r="B54" s="655"/>
      <c r="C54" s="655"/>
      <c r="D54" s="656"/>
      <c r="E54" s="562"/>
      <c r="F54" s="563"/>
      <c r="G54" s="564"/>
      <c r="H54" s="22"/>
      <c r="I54" s="567">
        <f aca="true" t="shared" si="18" ref="I54:N54">SUM(I42:I53)</f>
        <v>1057095.05</v>
      </c>
      <c r="J54" s="567">
        <f t="shared" si="18"/>
        <v>732713.2000000001</v>
      </c>
      <c r="K54" s="569">
        <f t="shared" si="18"/>
        <v>732713.2000000001</v>
      </c>
      <c r="L54" s="236">
        <f t="shared" si="18"/>
        <v>324381.8500000001</v>
      </c>
      <c r="M54" s="569">
        <f t="shared" si="18"/>
        <v>19830.910000000003</v>
      </c>
      <c r="N54" s="236">
        <f t="shared" si="18"/>
        <v>-324381.8500000001</v>
      </c>
      <c r="O54" s="75"/>
      <c r="P54" s="215">
        <f>SUM(P42:P53)</f>
        <v>1366225</v>
      </c>
      <c r="Q54" s="577">
        <f t="shared" si="17"/>
        <v>1366225</v>
      </c>
      <c r="R54" s="236">
        <f t="shared" si="17"/>
        <v>1366225</v>
      </c>
      <c r="S54" s="85"/>
    </row>
    <row r="55" spans="1:19" ht="15" customHeight="1">
      <c r="A55" s="611" t="s">
        <v>34</v>
      </c>
      <c r="B55" s="582"/>
      <c r="C55" s="582"/>
      <c r="D55" s="612"/>
      <c r="E55" s="494" t="s">
        <v>115</v>
      </c>
      <c r="F55" s="207">
        <v>10003</v>
      </c>
      <c r="G55" s="309" t="s">
        <v>35</v>
      </c>
      <c r="H55" s="22"/>
      <c r="I55" s="565"/>
      <c r="J55" s="265">
        <f>'Expenditure break down Q4 2016'!F45</f>
        <v>0</v>
      </c>
      <c r="K55" s="446">
        <f>J55</f>
        <v>0</v>
      </c>
      <c r="L55" s="255">
        <f>I55-K55</f>
        <v>0</v>
      </c>
      <c r="M55" s="446"/>
      <c r="N55" s="255">
        <f t="shared" si="16"/>
        <v>0</v>
      </c>
      <c r="O55" s="75"/>
      <c r="P55" s="265"/>
      <c r="Q55" s="566">
        <f t="shared" si="17"/>
        <v>0</v>
      </c>
      <c r="R55" s="255">
        <f t="shared" si="17"/>
        <v>0</v>
      </c>
      <c r="S55" s="85"/>
    </row>
    <row r="56" spans="1:19" s="407" customFormat="1" ht="15" customHeight="1">
      <c r="A56" s="581" t="s">
        <v>36</v>
      </c>
      <c r="B56" s="582"/>
      <c r="C56" s="582"/>
      <c r="D56" s="583"/>
      <c r="E56" s="494" t="s">
        <v>115</v>
      </c>
      <c r="F56" s="207">
        <v>10003</v>
      </c>
      <c r="G56" s="441" t="s">
        <v>37</v>
      </c>
      <c r="H56" s="22"/>
      <c r="I56" s="444"/>
      <c r="J56" s="217">
        <f>'Expenditure break down Q4 2016'!F43</f>
        <v>0</v>
      </c>
      <c r="K56" s="238">
        <f>J56</f>
        <v>0</v>
      </c>
      <c r="L56" s="232">
        <f>I56-K56</f>
        <v>0</v>
      </c>
      <c r="M56" s="238"/>
      <c r="N56" s="232">
        <f t="shared" si="16"/>
        <v>0</v>
      </c>
      <c r="O56" s="75"/>
      <c r="P56" s="217">
        <f>'Workplan budget Q1 - 2017'!O34</f>
        <v>0</v>
      </c>
      <c r="Q56" s="451"/>
      <c r="R56" s="235"/>
      <c r="S56" s="85"/>
    </row>
    <row r="57" spans="1:19" s="407" customFormat="1" ht="15" customHeight="1">
      <c r="A57" s="581" t="s">
        <v>307</v>
      </c>
      <c r="B57" s="582"/>
      <c r="C57" s="582"/>
      <c r="D57" s="583"/>
      <c r="E57" s="494" t="s">
        <v>115</v>
      </c>
      <c r="F57" s="207">
        <v>10003</v>
      </c>
      <c r="G57" s="441" t="s">
        <v>38</v>
      </c>
      <c r="H57" s="22"/>
      <c r="I57" s="444"/>
      <c r="J57" s="217">
        <f>'Expenditure break down Q4 2016'!F44</f>
        <v>391920</v>
      </c>
      <c r="K57" s="238">
        <f>J57</f>
        <v>391920</v>
      </c>
      <c r="L57" s="232">
        <f>I57-K57</f>
        <v>-391920</v>
      </c>
      <c r="M57" s="238">
        <f>31950+19170</f>
        <v>51120</v>
      </c>
      <c r="N57" s="232">
        <f t="shared" si="16"/>
        <v>391920</v>
      </c>
      <c r="O57" s="75"/>
      <c r="P57" s="217"/>
      <c r="Q57" s="451"/>
      <c r="R57" s="235"/>
      <c r="S57" s="85"/>
    </row>
    <row r="58" spans="1:19" ht="15" customHeight="1" thickBot="1">
      <c r="A58" s="590" t="s">
        <v>158</v>
      </c>
      <c r="B58" s="591"/>
      <c r="C58" s="591"/>
      <c r="D58" s="592"/>
      <c r="E58" s="494" t="s">
        <v>115</v>
      </c>
      <c r="F58" s="319">
        <v>10003</v>
      </c>
      <c r="G58" s="322" t="s">
        <v>41</v>
      </c>
      <c r="H58" s="22"/>
      <c r="I58" s="449"/>
      <c r="J58" s="266"/>
      <c r="K58" s="450">
        <f>J58</f>
        <v>0</v>
      </c>
      <c r="L58" s="281">
        <f>I58-K58</f>
        <v>0</v>
      </c>
      <c r="M58" s="442"/>
      <c r="N58" s="282">
        <f t="shared" si="16"/>
        <v>0</v>
      </c>
      <c r="O58" s="75"/>
      <c r="P58" s="266"/>
      <c r="Q58" s="452">
        <f t="shared" si="17"/>
        <v>0</v>
      </c>
      <c r="R58" s="282">
        <f t="shared" si="17"/>
        <v>0</v>
      </c>
      <c r="S58" s="85"/>
    </row>
    <row r="59" spans="1:19" ht="15" thickBot="1">
      <c r="A59" s="596" t="s">
        <v>42</v>
      </c>
      <c r="B59" s="597"/>
      <c r="C59" s="597"/>
      <c r="D59" s="598"/>
      <c r="E59" s="61"/>
      <c r="F59" s="62"/>
      <c r="G59" s="63"/>
      <c r="H59" s="22"/>
      <c r="I59" s="74">
        <f>SUM(I55:I58)</f>
        <v>0</v>
      </c>
      <c r="J59" s="215">
        <f>SUM(J55:J58)</f>
        <v>391920</v>
      </c>
      <c r="K59" s="236">
        <f>J59</f>
        <v>391920</v>
      </c>
      <c r="L59" s="236">
        <f>SUM(L55:L58)</f>
        <v>-391920</v>
      </c>
      <c r="M59" s="236">
        <f>SUM(M55:M58)</f>
        <v>51120</v>
      </c>
      <c r="N59" s="453">
        <f t="shared" si="16"/>
        <v>391920</v>
      </c>
      <c r="O59" s="75"/>
      <c r="P59" s="215">
        <f>SUM(P55:P58)</f>
        <v>0</v>
      </c>
      <c r="Q59" s="239">
        <f>P59</f>
        <v>0</v>
      </c>
      <c r="R59" s="239">
        <f>Q59</f>
        <v>0</v>
      </c>
      <c r="S59" s="85"/>
    </row>
    <row r="60" spans="1:19" ht="15" thickBot="1">
      <c r="A60" s="619" t="s">
        <v>42</v>
      </c>
      <c r="B60" s="620"/>
      <c r="C60" s="620"/>
      <c r="D60" s="621"/>
      <c r="E60" s="66"/>
      <c r="F60" s="67"/>
      <c r="G60" s="68"/>
      <c r="H60" s="23"/>
      <c r="I60" s="77">
        <f aca="true" t="shared" si="19" ref="I60:N60">I26+I40+I54+I59</f>
        <v>5385841.649999999</v>
      </c>
      <c r="J60" s="77">
        <f t="shared" si="19"/>
        <v>4876740.33</v>
      </c>
      <c r="K60" s="77">
        <f t="shared" si="19"/>
        <v>4876740.33</v>
      </c>
      <c r="L60" s="77">
        <f t="shared" si="19"/>
        <v>509101.3200000002</v>
      </c>
      <c r="M60" s="77">
        <f t="shared" si="19"/>
        <v>372496.47</v>
      </c>
      <c r="N60" s="77">
        <f t="shared" si="19"/>
        <v>-509101.3200000002</v>
      </c>
      <c r="O60" s="76"/>
      <c r="P60" s="267">
        <f>P26+P40+P54+P59</f>
        <v>4978225</v>
      </c>
      <c r="Q60" s="267">
        <f>Q26+Q40+Q54+Q59</f>
        <v>4978225</v>
      </c>
      <c r="R60" s="267">
        <f>R26+R40+R54+R59</f>
        <v>4978225</v>
      </c>
      <c r="S60" s="87"/>
    </row>
    <row r="61" spans="1:19" ht="14.25">
      <c r="A61" s="586"/>
      <c r="B61" s="586"/>
      <c r="C61" s="586"/>
      <c r="D61" s="586"/>
      <c r="E61" s="586"/>
      <c r="F61" s="586"/>
      <c r="G61" s="586"/>
      <c r="H61" s="586"/>
      <c r="I61" s="586"/>
      <c r="J61" s="586"/>
      <c r="K61" s="586"/>
      <c r="L61" s="586"/>
      <c r="M61" s="586"/>
      <c r="N61" s="586"/>
      <c r="O61" s="586"/>
      <c r="P61" s="586"/>
      <c r="Q61" s="586"/>
      <c r="R61" s="586"/>
      <c r="S61" s="87"/>
    </row>
    <row r="62" spans="1:19" ht="14.25">
      <c r="A62" s="24" t="s">
        <v>47</v>
      </c>
      <c r="B62" s="9"/>
      <c r="C62" s="9"/>
      <c r="D62" s="9"/>
      <c r="E62" s="9"/>
      <c r="F62" s="5"/>
      <c r="G62" s="5"/>
      <c r="H62" s="5"/>
      <c r="I62" s="560"/>
      <c r="J62" s="89"/>
      <c r="K62" s="240"/>
      <c r="L62" s="240"/>
      <c r="M62" s="240"/>
      <c r="N62" s="240"/>
      <c r="O62" s="5"/>
      <c r="P62" s="81"/>
      <c r="Q62" s="81"/>
      <c r="R62" s="78"/>
      <c r="S62" s="81"/>
    </row>
    <row r="63" spans="1:19" ht="14.25">
      <c r="A63" s="9" t="s">
        <v>48</v>
      </c>
      <c r="B63" s="7"/>
      <c r="C63" s="9"/>
      <c r="D63" s="9"/>
      <c r="E63" s="9"/>
      <c r="F63" s="5"/>
      <c r="G63" s="5"/>
      <c r="H63" s="5"/>
      <c r="I63" s="10"/>
      <c r="J63" s="89"/>
      <c r="K63" s="240"/>
      <c r="L63" s="89"/>
      <c r="M63" s="89"/>
      <c r="N63" s="81"/>
      <c r="O63" s="5"/>
      <c r="P63" s="81"/>
      <c r="Q63" s="81"/>
      <c r="R63" s="78"/>
      <c r="S63" s="81"/>
    </row>
    <row r="64" spans="1:19" ht="24.75">
      <c r="A64" s="25" t="s">
        <v>49</v>
      </c>
      <c r="B64" s="613" t="s">
        <v>50</v>
      </c>
      <c r="C64" s="613"/>
      <c r="D64" s="613"/>
      <c r="E64" s="613"/>
      <c r="F64" s="613"/>
      <c r="G64" s="613"/>
      <c r="H64" s="613"/>
      <c r="I64" s="613"/>
      <c r="J64" s="613"/>
      <c r="K64" s="613"/>
      <c r="L64" s="613"/>
      <c r="M64" s="613"/>
      <c r="N64" s="613"/>
      <c r="O64" s="613"/>
      <c r="P64" s="613"/>
      <c r="Q64" s="613"/>
      <c r="R64" s="613"/>
      <c r="S64" s="81"/>
    </row>
    <row r="65" spans="1:19" ht="24.75">
      <c r="A65" s="25" t="s">
        <v>51</v>
      </c>
      <c r="B65" s="613" t="s">
        <v>52</v>
      </c>
      <c r="C65" s="613"/>
      <c r="D65" s="613"/>
      <c r="E65" s="613"/>
      <c r="F65" s="613"/>
      <c r="G65" s="613"/>
      <c r="H65" s="613"/>
      <c r="I65" s="613"/>
      <c r="J65" s="613"/>
      <c r="K65" s="613"/>
      <c r="L65" s="613"/>
      <c r="M65" s="613"/>
      <c r="N65" s="613"/>
      <c r="O65" s="613"/>
      <c r="P65" s="613"/>
      <c r="Q65" s="613"/>
      <c r="R65" s="613"/>
      <c r="S65" s="81"/>
    </row>
    <row r="66" spans="1:19" ht="14.25">
      <c r="A66" s="9" t="s">
        <v>53</v>
      </c>
      <c r="B66" s="9"/>
      <c r="C66" s="9"/>
      <c r="D66" s="58"/>
      <c r="E66" s="26"/>
      <c r="F66" s="5"/>
      <c r="G66" s="5"/>
      <c r="H66" s="5"/>
      <c r="I66" s="27" t="s">
        <v>54</v>
      </c>
      <c r="J66" s="224" t="s">
        <v>96</v>
      </c>
      <c r="K66" s="241"/>
      <c r="L66" s="224"/>
      <c r="M66" s="89"/>
      <c r="N66" s="261" t="s">
        <v>55</v>
      </c>
      <c r="O66" s="26"/>
      <c r="P66" s="268" t="s">
        <v>56</v>
      </c>
      <c r="Q66" s="283"/>
      <c r="R66" s="292" t="s">
        <v>57</v>
      </c>
      <c r="S66" s="81"/>
    </row>
    <row r="67" spans="1:19" ht="14.25">
      <c r="A67" s="9"/>
      <c r="B67" s="9"/>
      <c r="C67" s="9"/>
      <c r="D67" s="9"/>
      <c r="E67" s="9"/>
      <c r="F67" s="5"/>
      <c r="G67" s="5"/>
      <c r="H67" s="5"/>
      <c r="I67" s="28"/>
      <c r="J67" s="89"/>
      <c r="K67" s="240"/>
      <c r="L67" s="89"/>
      <c r="M67" s="89"/>
      <c r="N67" s="81"/>
      <c r="O67" s="5"/>
      <c r="P67" s="81"/>
      <c r="Q67" s="81"/>
      <c r="R67" s="78"/>
      <c r="S67" s="81"/>
    </row>
    <row r="68" spans="1:19" ht="14.25">
      <c r="A68" s="29" t="s">
        <v>58</v>
      </c>
      <c r="B68" s="30" t="s">
        <v>59</v>
      </c>
      <c r="C68" s="31" t="s">
        <v>60</v>
      </c>
      <c r="D68" s="32"/>
      <c r="E68" s="32"/>
      <c r="F68" s="33"/>
      <c r="G68" s="33"/>
      <c r="H68" s="33"/>
      <c r="I68" s="34"/>
      <c r="J68" s="225"/>
      <c r="K68" s="242"/>
      <c r="L68" s="225"/>
      <c r="M68" s="225"/>
      <c r="N68" s="262"/>
      <c r="O68" s="33"/>
      <c r="P68" s="262"/>
      <c r="Q68" s="262"/>
      <c r="R68" s="293"/>
      <c r="S68" s="81"/>
    </row>
    <row r="69" spans="1:19" ht="15" thickBot="1">
      <c r="A69" s="35"/>
      <c r="B69" s="36"/>
      <c r="C69" s="37"/>
      <c r="D69" s="37"/>
      <c r="E69" s="37"/>
      <c r="F69" s="37"/>
      <c r="G69" s="37"/>
      <c r="H69" s="37"/>
      <c r="I69" s="37"/>
      <c r="J69" s="226"/>
      <c r="K69" s="243"/>
      <c r="L69" s="243"/>
      <c r="M69" s="243"/>
      <c r="N69" s="243"/>
      <c r="O69" s="37"/>
      <c r="P69" s="243"/>
      <c r="Q69" s="243"/>
      <c r="R69" s="243"/>
      <c r="S69" s="88"/>
    </row>
    <row r="70" spans="1:19" ht="15" thickBot="1" thickTop="1">
      <c r="A70" s="39" t="s">
        <v>61</v>
      </c>
      <c r="B70" s="9"/>
      <c r="C70" s="9"/>
      <c r="D70" s="9"/>
      <c r="E70" s="9"/>
      <c r="F70" s="5"/>
      <c r="G70" s="9"/>
      <c r="H70" s="5"/>
      <c r="I70" s="38"/>
      <c r="J70" s="227"/>
      <c r="K70" s="244"/>
      <c r="L70" s="227"/>
      <c r="M70" s="227"/>
      <c r="N70" s="81"/>
      <c r="O70" s="5"/>
      <c r="P70" s="81"/>
      <c r="Q70" s="81"/>
      <c r="R70" s="294"/>
      <c r="S70" s="89"/>
    </row>
    <row r="71" spans="1:19" ht="15" thickBot="1">
      <c r="A71" s="584" t="s">
        <v>62</v>
      </c>
      <c r="B71" s="585"/>
      <c r="C71" s="585"/>
      <c r="D71" s="585"/>
      <c r="E71" s="585"/>
      <c r="F71" s="166"/>
      <c r="G71" s="167"/>
      <c r="H71" s="40"/>
      <c r="I71" s="41"/>
      <c r="J71" s="622" t="s">
        <v>63</v>
      </c>
      <c r="K71" s="623"/>
      <c r="L71" s="623"/>
      <c r="M71" s="623"/>
      <c r="N71" s="623"/>
      <c r="O71" s="623"/>
      <c r="P71" s="623"/>
      <c r="Q71" s="624"/>
      <c r="R71" s="295"/>
      <c r="S71" s="90"/>
    </row>
    <row r="72" spans="1:19" ht="15.75" customHeight="1" thickBot="1">
      <c r="A72" s="168" t="s">
        <v>64</v>
      </c>
      <c r="B72" s="169"/>
      <c r="C72" s="169"/>
      <c r="D72" s="169"/>
      <c r="E72" s="169"/>
      <c r="F72" s="169"/>
      <c r="G72" s="170"/>
      <c r="H72" s="42"/>
      <c r="I72" s="43"/>
      <c r="J72" s="599" t="s">
        <v>15</v>
      </c>
      <c r="K72" s="600"/>
      <c r="L72" s="600"/>
      <c r="M72" s="600"/>
      <c r="N72" s="600"/>
      <c r="O72" s="600"/>
      <c r="P72" s="600"/>
      <c r="Q72" s="601"/>
      <c r="R72" s="296"/>
      <c r="S72" s="90"/>
    </row>
    <row r="73" spans="1:19" ht="25.5" customHeight="1">
      <c r="A73" s="171"/>
      <c r="B73" s="44"/>
      <c r="C73" s="44"/>
      <c r="D73" s="44"/>
      <c r="E73" s="44"/>
      <c r="F73" s="44"/>
      <c r="G73" s="172"/>
      <c r="H73" s="52"/>
      <c r="I73" s="7"/>
      <c r="J73" s="625" t="s">
        <v>65</v>
      </c>
      <c r="K73" s="626"/>
      <c r="L73" s="626"/>
      <c r="M73" s="626"/>
      <c r="N73" s="626"/>
      <c r="O73" s="627"/>
      <c r="P73" s="269" t="s">
        <v>66</v>
      </c>
      <c r="Q73" s="284" t="s">
        <v>67</v>
      </c>
      <c r="R73" s="284" t="s">
        <v>67</v>
      </c>
      <c r="S73" s="91"/>
    </row>
    <row r="74" spans="1:19" ht="15" customHeight="1">
      <c r="A74" s="173" t="s">
        <v>68</v>
      </c>
      <c r="B74" s="47" t="s">
        <v>97</v>
      </c>
      <c r="C74" s="131"/>
      <c r="D74" s="45"/>
      <c r="E74" s="57"/>
      <c r="F74" s="45"/>
      <c r="G74" s="172"/>
      <c r="H74" s="54"/>
      <c r="I74" s="7"/>
      <c r="J74" s="602" t="s">
        <v>119</v>
      </c>
      <c r="K74" s="603"/>
      <c r="L74" s="603"/>
      <c r="M74" s="603"/>
      <c r="N74" s="603"/>
      <c r="O74" s="604"/>
      <c r="P74" s="270" t="s">
        <v>76</v>
      </c>
      <c r="Q74" s="285" t="s">
        <v>78</v>
      </c>
      <c r="R74" s="285" t="s">
        <v>78</v>
      </c>
      <c r="S74" s="92"/>
    </row>
    <row r="75" spans="1:19" ht="15" customHeight="1">
      <c r="A75" s="174"/>
      <c r="B75" s="175"/>
      <c r="C75" s="45"/>
      <c r="D75" s="45"/>
      <c r="E75" s="57"/>
      <c r="F75" s="45"/>
      <c r="G75" s="172"/>
      <c r="H75" s="54"/>
      <c r="I75" s="7"/>
      <c r="J75" s="608" t="s">
        <v>120</v>
      </c>
      <c r="K75" s="609"/>
      <c r="L75" s="609"/>
      <c r="M75" s="609"/>
      <c r="N75" s="609"/>
      <c r="O75" s="610"/>
      <c r="P75" s="271" t="s">
        <v>77</v>
      </c>
      <c r="Q75" s="286" t="s">
        <v>79</v>
      </c>
      <c r="R75" s="286" t="s">
        <v>79</v>
      </c>
      <c r="S75" s="92"/>
    </row>
    <row r="76" spans="1:19" ht="15" customHeight="1">
      <c r="A76" s="176"/>
      <c r="B76" s="131"/>
      <c r="C76" s="45"/>
      <c r="D76" s="45"/>
      <c r="E76" s="57"/>
      <c r="F76" s="45"/>
      <c r="G76" s="172"/>
      <c r="H76" s="54"/>
      <c r="I76" s="7"/>
      <c r="J76" s="608" t="s">
        <v>95</v>
      </c>
      <c r="K76" s="609"/>
      <c r="L76" s="609"/>
      <c r="M76" s="609"/>
      <c r="N76" s="609"/>
      <c r="O76" s="610"/>
      <c r="P76" s="272"/>
      <c r="Q76" s="287"/>
      <c r="R76" s="287"/>
      <c r="S76" s="92"/>
    </row>
    <row r="77" spans="1:19" ht="15" customHeight="1">
      <c r="A77" s="173"/>
      <c r="B77" s="47"/>
      <c r="C77" s="45"/>
      <c r="D77" s="45"/>
      <c r="E77" s="57"/>
      <c r="F77" s="45"/>
      <c r="G77" s="172"/>
      <c r="H77" s="54"/>
      <c r="I77" s="7"/>
      <c r="J77" s="602" t="s">
        <v>75</v>
      </c>
      <c r="K77" s="603"/>
      <c r="L77" s="603"/>
      <c r="M77" s="603"/>
      <c r="N77" s="603"/>
      <c r="O77" s="604"/>
      <c r="P77" s="272"/>
      <c r="Q77" s="287"/>
      <c r="R77" s="287"/>
      <c r="S77" s="92"/>
    </row>
    <row r="78" spans="1:19" ht="15" customHeight="1">
      <c r="A78" s="173"/>
      <c r="B78" s="47"/>
      <c r="C78" s="45"/>
      <c r="D78" s="45"/>
      <c r="E78" s="57"/>
      <c r="F78" s="45"/>
      <c r="G78" s="172"/>
      <c r="H78" s="54"/>
      <c r="I78" s="7"/>
      <c r="J78" s="602" t="s">
        <v>121</v>
      </c>
      <c r="K78" s="603"/>
      <c r="L78" s="603"/>
      <c r="M78" s="603"/>
      <c r="N78" s="603"/>
      <c r="O78" s="604"/>
      <c r="P78" s="273"/>
      <c r="Q78" s="288"/>
      <c r="R78" s="288"/>
      <c r="S78" s="92"/>
    </row>
    <row r="79" spans="1:19" ht="15.75" customHeight="1" thickBot="1">
      <c r="A79" s="173"/>
      <c r="B79" s="47"/>
      <c r="C79" s="47"/>
      <c r="D79" s="47"/>
      <c r="E79" s="47"/>
      <c r="F79" s="48"/>
      <c r="G79" s="172"/>
      <c r="H79" s="52"/>
      <c r="I79" s="7"/>
      <c r="J79" s="605" t="s">
        <v>124</v>
      </c>
      <c r="K79" s="606"/>
      <c r="L79" s="606"/>
      <c r="M79" s="606"/>
      <c r="N79" s="606"/>
      <c r="O79" s="607"/>
      <c r="P79" s="274"/>
      <c r="Q79" s="289"/>
      <c r="R79" s="289"/>
      <c r="S79" s="93"/>
    </row>
    <row r="80" spans="1:19" ht="12.75" customHeight="1">
      <c r="A80" s="173" t="s">
        <v>69</v>
      </c>
      <c r="B80" s="47" t="s">
        <v>98</v>
      </c>
      <c r="C80" s="47"/>
      <c r="D80" s="47"/>
      <c r="E80" s="47"/>
      <c r="F80" s="48"/>
      <c r="G80" s="172"/>
      <c r="H80" s="32"/>
      <c r="I80" s="46"/>
      <c r="J80" s="92"/>
      <c r="K80" s="245"/>
      <c r="L80" s="256"/>
      <c r="M80" s="256"/>
      <c r="N80" s="246"/>
      <c r="O80" s="7"/>
      <c r="P80" s="275"/>
      <c r="Q80" s="246"/>
      <c r="R80" s="93"/>
      <c r="S80" s="93"/>
    </row>
    <row r="81" spans="1:19" ht="0.75" customHeight="1" hidden="1">
      <c r="A81" s="173"/>
      <c r="B81" s="51"/>
      <c r="C81" s="47"/>
      <c r="D81" s="47"/>
      <c r="E81" s="47"/>
      <c r="F81" s="48"/>
      <c r="G81" s="172"/>
      <c r="H81" s="50"/>
      <c r="I81" s="49"/>
      <c r="J81" s="93"/>
      <c r="K81" s="246"/>
      <c r="L81" s="617"/>
      <c r="M81" s="617"/>
      <c r="N81" s="617"/>
      <c r="O81" s="617"/>
      <c r="P81" s="617"/>
      <c r="Q81" s="617"/>
      <c r="R81" s="93"/>
      <c r="S81" s="93"/>
    </row>
    <row r="82" spans="1:19" ht="14.25">
      <c r="A82" s="173" t="s">
        <v>70</v>
      </c>
      <c r="B82" s="47"/>
      <c r="C82" s="47"/>
      <c r="D82" s="47"/>
      <c r="E82" s="47"/>
      <c r="F82" s="48"/>
      <c r="G82" s="172"/>
      <c r="H82" s="50"/>
      <c r="I82" s="49"/>
      <c r="J82" s="93"/>
      <c r="K82" s="246"/>
      <c r="L82" s="257"/>
      <c r="M82" s="257"/>
      <c r="N82" s="257"/>
      <c r="O82" s="618"/>
      <c r="P82" s="618"/>
      <c r="Q82" s="257"/>
      <c r="R82" s="93"/>
      <c r="S82" s="93"/>
    </row>
    <row r="83" spans="1:19" ht="14.25">
      <c r="A83" s="177" t="s">
        <v>71</v>
      </c>
      <c r="B83" s="178"/>
      <c r="C83" s="178"/>
      <c r="D83" s="178"/>
      <c r="E83" s="178"/>
      <c r="F83" s="179"/>
      <c r="G83" s="180"/>
      <c r="H83" s="31"/>
      <c r="I83" s="49"/>
      <c r="J83" s="93"/>
      <c r="K83" s="246"/>
      <c r="L83" s="257"/>
      <c r="M83" s="257"/>
      <c r="N83" s="257"/>
      <c r="O83" s="616"/>
      <c r="P83" s="616"/>
      <c r="Q83" s="257"/>
      <c r="R83" s="93"/>
      <c r="S83" s="93"/>
    </row>
    <row r="84" spans="1:19" ht="14.25">
      <c r="A84" s="47"/>
      <c r="B84" s="47"/>
      <c r="C84" s="47"/>
      <c r="D84" s="47"/>
      <c r="E84" s="47"/>
      <c r="F84" s="48"/>
      <c r="G84" s="51"/>
      <c r="H84" s="15"/>
      <c r="I84" s="53"/>
      <c r="J84" s="94"/>
      <c r="K84" s="83"/>
      <c r="L84" s="257"/>
      <c r="M84" s="257"/>
      <c r="N84" s="257"/>
      <c r="O84" s="616"/>
      <c r="P84" s="616"/>
      <c r="Q84" s="257"/>
      <c r="R84" s="94"/>
      <c r="S84" s="94"/>
    </row>
    <row r="85" spans="1:19" ht="14.25">
      <c r="A85" s="7"/>
      <c r="B85" s="7"/>
      <c r="C85" s="7"/>
      <c r="D85" s="7"/>
      <c r="E85" s="7"/>
      <c r="F85" s="7"/>
      <c r="G85" s="51"/>
      <c r="H85" s="51"/>
      <c r="I85" s="51"/>
      <c r="J85" s="89"/>
      <c r="K85" s="240"/>
      <c r="L85" s="240"/>
      <c r="M85" s="240"/>
      <c r="N85" s="240"/>
      <c r="O85" s="51"/>
      <c r="P85" s="240"/>
      <c r="Q85" s="240"/>
      <c r="R85" s="294"/>
      <c r="S85" s="89"/>
    </row>
    <row r="86" spans="1:19" ht="14.25">
      <c r="A86" s="7"/>
      <c r="B86" s="7"/>
      <c r="C86" s="7"/>
      <c r="D86" s="7"/>
      <c r="E86" s="7"/>
      <c r="F86" s="7"/>
      <c r="G86" s="7"/>
      <c r="H86" s="7"/>
      <c r="I86" s="7"/>
      <c r="J86" s="211"/>
      <c r="K86" s="81"/>
      <c r="L86" s="81"/>
      <c r="M86" s="81"/>
      <c r="N86" s="81"/>
      <c r="O86" s="7"/>
      <c r="P86" s="81"/>
      <c r="Q86" s="81"/>
      <c r="R86" s="294"/>
      <c r="S86" s="81"/>
    </row>
    <row r="87" spans="1:19" ht="14.25">
      <c r="A87" s="7"/>
      <c r="B87" s="7"/>
      <c r="C87" s="7"/>
      <c r="D87" s="7"/>
      <c r="E87" s="7"/>
      <c r="F87" s="7"/>
      <c r="G87" s="7"/>
      <c r="H87" s="7"/>
      <c r="I87" s="7"/>
      <c r="J87" s="211"/>
      <c r="K87" s="81"/>
      <c r="L87" s="81"/>
      <c r="M87" s="81"/>
      <c r="N87" s="81"/>
      <c r="O87" s="7"/>
      <c r="P87" s="81"/>
      <c r="Q87" s="81"/>
      <c r="R87" s="294"/>
      <c r="S87" s="81"/>
    </row>
    <row r="88" spans="1:19" ht="14.25">
      <c r="A88" s="7"/>
      <c r="B88" s="7"/>
      <c r="C88" s="7"/>
      <c r="D88" s="7"/>
      <c r="E88" s="7"/>
      <c r="F88" s="7"/>
      <c r="G88" s="7"/>
      <c r="H88" s="7"/>
      <c r="I88" s="7"/>
      <c r="J88" s="211"/>
      <c r="K88" s="81"/>
      <c r="L88" s="81"/>
      <c r="M88" s="81"/>
      <c r="N88" s="81"/>
      <c r="O88" s="7"/>
      <c r="P88" s="81"/>
      <c r="Q88" s="81"/>
      <c r="R88" s="78"/>
      <c r="S88" s="81"/>
    </row>
    <row r="89" spans="1:19" ht="15" customHeight="1">
      <c r="A89" s="7"/>
      <c r="B89" s="7"/>
      <c r="C89" s="7"/>
      <c r="D89" s="7"/>
      <c r="E89" s="7"/>
      <c r="F89" s="7"/>
      <c r="G89" s="7"/>
      <c r="H89" s="7"/>
      <c r="I89" s="7"/>
      <c r="J89" s="211"/>
      <c r="K89" s="81"/>
      <c r="L89" s="81"/>
      <c r="M89" s="81"/>
      <c r="N89" s="81"/>
      <c r="O89" s="7"/>
      <c r="P89" s="81"/>
      <c r="Q89" s="81"/>
      <c r="R89" s="78"/>
      <c r="S89" s="81"/>
    </row>
  </sheetData>
  <sheetProtection/>
  <mergeCells count="71">
    <mergeCell ref="A53:D53"/>
    <mergeCell ref="A19:D19"/>
    <mergeCell ref="A20:D20"/>
    <mergeCell ref="A43:D43"/>
    <mergeCell ref="A41:D41"/>
    <mergeCell ref="A23:D23"/>
    <mergeCell ref="A24:D24"/>
    <mergeCell ref="A38:D38"/>
    <mergeCell ref="A21:D21"/>
    <mergeCell ref="A30:D30"/>
    <mergeCell ref="A25:D25"/>
    <mergeCell ref="A28:D28"/>
    <mergeCell ref="A26:D26"/>
    <mergeCell ref="A47:D47"/>
    <mergeCell ref="A14:D14"/>
    <mergeCell ref="A27:D27"/>
    <mergeCell ref="A36:D36"/>
    <mergeCell ref="A29:D29"/>
    <mergeCell ref="A15:D15"/>
    <mergeCell ref="A16:D16"/>
    <mergeCell ref="A17:D17"/>
    <mergeCell ref="A31:D31"/>
    <mergeCell ref="A32:D32"/>
    <mergeCell ref="A18:D18"/>
    <mergeCell ref="I9:N9"/>
    <mergeCell ref="P9:R9"/>
    <mergeCell ref="A11:D13"/>
    <mergeCell ref="E11:G11"/>
    <mergeCell ref="E12:E13"/>
    <mergeCell ref="F12:F13"/>
    <mergeCell ref="G12:G13"/>
    <mergeCell ref="O84:P84"/>
    <mergeCell ref="L81:Q81"/>
    <mergeCell ref="O82:P82"/>
    <mergeCell ref="A60:D60"/>
    <mergeCell ref="J71:Q71"/>
    <mergeCell ref="J75:O75"/>
    <mergeCell ref="O83:P83"/>
    <mergeCell ref="J78:O78"/>
    <mergeCell ref="J73:O73"/>
    <mergeCell ref="B64:R64"/>
    <mergeCell ref="A34:D34"/>
    <mergeCell ref="A42:D42"/>
    <mergeCell ref="A40:D40"/>
    <mergeCell ref="A55:D55"/>
    <mergeCell ref="A49:D49"/>
    <mergeCell ref="A50:D50"/>
    <mergeCell ref="A54:D54"/>
    <mergeCell ref="A35:D35"/>
    <mergeCell ref="A51:D51"/>
    <mergeCell ref="A52:D52"/>
    <mergeCell ref="J72:Q72"/>
    <mergeCell ref="J77:O77"/>
    <mergeCell ref="J79:O79"/>
    <mergeCell ref="J76:O76"/>
    <mergeCell ref="A22:D22"/>
    <mergeCell ref="A45:D45"/>
    <mergeCell ref="A33:D33"/>
    <mergeCell ref="J74:O74"/>
    <mergeCell ref="A48:D48"/>
    <mergeCell ref="B65:R65"/>
    <mergeCell ref="A56:D56"/>
    <mergeCell ref="A57:D57"/>
    <mergeCell ref="A71:E71"/>
    <mergeCell ref="A61:R61"/>
    <mergeCell ref="A37:D37"/>
    <mergeCell ref="A58:D58"/>
    <mergeCell ref="A39:D39"/>
    <mergeCell ref="A59:D59"/>
    <mergeCell ref="A46:D46"/>
    <mergeCell ref="A44:D44"/>
  </mergeCells>
  <printOptions/>
  <pageMargins left="0.7086614173228347" right="0.7086614173228347" top="0.7480314960629921" bottom="0.7480314960629921" header="0.31496062992125984" footer="0.31496062992125984"/>
  <pageSetup fitToHeight="2" horizontalDpi="600" verticalDpi="600" orientation="landscape" scale="55" r:id="rId1"/>
  <rowBreaks count="1" manualBreakCount="1">
    <brk id="4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02"/>
  <sheetViews>
    <sheetView zoomScalePageLayoutView="0" workbookViewId="0" topLeftCell="A1">
      <pane ySplit="4" topLeftCell="A29" activePane="bottomLeft" state="frozen"/>
      <selection pane="topLeft" activeCell="A1" sqref="A1"/>
      <selection pane="bottomLeft" activeCell="D48" sqref="D48"/>
    </sheetView>
  </sheetViews>
  <sheetFormatPr defaultColWidth="9.140625" defaultRowHeight="15"/>
  <cols>
    <col min="1" max="1" width="10.140625" style="529" customWidth="1"/>
    <col min="2" max="2" width="8.8515625" style="525" customWidth="1"/>
    <col min="3" max="3" width="16.28125" style="526" customWidth="1"/>
    <col min="4" max="4" width="17.00390625" style="527" customWidth="1"/>
    <col min="5" max="5" width="20.140625" style="527" customWidth="1"/>
    <col min="6" max="6" width="18.57421875" style="528" bestFit="1" customWidth="1"/>
    <col min="7" max="7" width="15.421875" style="527" hidden="1" customWidth="1"/>
    <col min="8" max="8" width="14.7109375" style="527" hidden="1" customWidth="1"/>
    <col min="9" max="9" width="16.00390625" style="527" customWidth="1"/>
    <col min="10" max="10" width="18.57421875" style="525" bestFit="1" customWidth="1"/>
    <col min="11" max="11" width="16.140625" style="525" bestFit="1" customWidth="1"/>
    <col min="12" max="16384" width="9.140625" style="525" customWidth="1"/>
  </cols>
  <sheetData>
    <row r="1" ht="15">
      <c r="A1" s="474" t="s">
        <v>100</v>
      </c>
    </row>
    <row r="3" spans="1:6" ht="15">
      <c r="A3" s="662" t="s">
        <v>171</v>
      </c>
      <c r="B3" s="662"/>
      <c r="C3" s="662"/>
      <c r="D3" s="662"/>
      <c r="E3" s="662"/>
      <c r="F3" s="662"/>
    </row>
    <row r="4" spans="3:8" ht="15">
      <c r="C4" s="530" t="s">
        <v>168</v>
      </c>
      <c r="D4" s="531" t="s">
        <v>169</v>
      </c>
      <c r="E4" s="532" t="s">
        <v>170</v>
      </c>
      <c r="F4" s="528" t="s">
        <v>46</v>
      </c>
      <c r="G4" s="527" t="s">
        <v>86</v>
      </c>
      <c r="H4" s="527" t="s">
        <v>19</v>
      </c>
    </row>
    <row r="5" spans="1:6" ht="15">
      <c r="A5" s="533" t="s">
        <v>81</v>
      </c>
      <c r="B5" s="534"/>
      <c r="C5" s="477"/>
      <c r="D5" s="366"/>
      <c r="E5" s="366"/>
      <c r="F5" s="535"/>
    </row>
    <row r="6" spans="1:9" ht="15">
      <c r="A6" s="536"/>
      <c r="B6" s="537"/>
      <c r="C6" s="477"/>
      <c r="D6" s="366"/>
      <c r="E6" s="366"/>
      <c r="F6" s="535"/>
      <c r="I6" s="525"/>
    </row>
    <row r="7" spans="1:9" ht="15">
      <c r="A7" s="536"/>
      <c r="B7" s="537">
        <v>71305</v>
      </c>
      <c r="C7" s="477">
        <v>0</v>
      </c>
      <c r="D7" s="366"/>
      <c r="E7" s="366"/>
      <c r="F7" s="535">
        <f aca="true" t="shared" si="0" ref="F7:F44">SUM(C7:E7)</f>
        <v>0</v>
      </c>
      <c r="G7" s="527">
        <v>150000</v>
      </c>
      <c r="H7" s="527">
        <f>(G7-F7)</f>
        <v>150000</v>
      </c>
      <c r="I7" s="525"/>
    </row>
    <row r="8" spans="1:9" ht="15">
      <c r="A8" s="536"/>
      <c r="B8" s="537">
        <v>71635</v>
      </c>
      <c r="C8" s="477">
        <v>0</v>
      </c>
      <c r="D8" s="366">
        <f>800+5000-2068.05</f>
        <v>3731.95</v>
      </c>
      <c r="E8" s="366"/>
      <c r="F8" s="535">
        <f t="shared" si="0"/>
        <v>3731.95</v>
      </c>
      <c r="I8" s="525"/>
    </row>
    <row r="9" spans="1:9" ht="15">
      <c r="A9" s="536"/>
      <c r="B9" s="537">
        <v>71620</v>
      </c>
      <c r="C9" s="477">
        <v>0</v>
      </c>
      <c r="D9" s="366">
        <f>3545*8+3900+45306+7352+3008+3339-213</f>
        <v>91052</v>
      </c>
      <c r="E9" s="366">
        <f>3120+3640</f>
        <v>6760</v>
      </c>
      <c r="F9" s="535">
        <f t="shared" si="0"/>
        <v>97812</v>
      </c>
      <c r="I9" s="525"/>
    </row>
    <row r="10" spans="1:9" ht="15">
      <c r="A10" s="536"/>
      <c r="B10" s="537">
        <v>71800</v>
      </c>
      <c r="C10" s="477">
        <v>0</v>
      </c>
      <c r="D10" s="366">
        <f>6700+162932</f>
        <v>169632</v>
      </c>
      <c r="F10" s="535">
        <f t="shared" si="0"/>
        <v>169632</v>
      </c>
      <c r="I10" s="525"/>
    </row>
    <row r="11" spans="1:9" ht="15">
      <c r="A11" s="536"/>
      <c r="B11" s="537">
        <v>76100</v>
      </c>
      <c r="C11" s="477">
        <v>0</v>
      </c>
      <c r="D11" s="366">
        <v>0</v>
      </c>
      <c r="E11" s="366">
        <v>0</v>
      </c>
      <c r="F11" s="535">
        <f t="shared" si="0"/>
        <v>0</v>
      </c>
      <c r="I11" s="525"/>
    </row>
    <row r="12" spans="1:9" ht="15">
      <c r="A12" s="536"/>
      <c r="B12" s="537">
        <v>71405</v>
      </c>
      <c r="C12" s="477">
        <f>352204.27</f>
        <v>352204.27</v>
      </c>
      <c r="D12" s="366">
        <f>352204.27</f>
        <v>352204.27</v>
      </c>
      <c r="E12" s="366">
        <f>354704.27</f>
        <v>354704.27</v>
      </c>
      <c r="F12" s="535">
        <f t="shared" si="0"/>
        <v>1059112.81</v>
      </c>
      <c r="G12" s="527">
        <v>10000</v>
      </c>
      <c r="H12" s="527">
        <f>(G12-F9-F10-F11-F12)</f>
        <v>-1316556.81</v>
      </c>
      <c r="I12" s="525"/>
    </row>
    <row r="13" spans="1:9" ht="15">
      <c r="A13" s="536"/>
      <c r="B13" s="537">
        <v>72425</v>
      </c>
      <c r="C13" s="477">
        <f>5279.2+10343.73</f>
        <v>15622.93</v>
      </c>
      <c r="D13" s="366">
        <f>6154.74+10314.88</f>
        <v>16469.62</v>
      </c>
      <c r="E13" s="366">
        <f>8161.15+10329.3+2885</f>
        <v>21375.449999999997</v>
      </c>
      <c r="F13" s="535">
        <f t="shared" si="0"/>
        <v>53468</v>
      </c>
      <c r="I13" s="525"/>
    </row>
    <row r="14" spans="1:9" ht="15">
      <c r="A14" s="536"/>
      <c r="B14" s="537">
        <v>73410</v>
      </c>
      <c r="C14" s="477"/>
      <c r="D14" s="366">
        <f>26390.14+985.8</f>
        <v>27375.94</v>
      </c>
      <c r="E14" s="366">
        <f>16660.07</f>
        <v>16660.07</v>
      </c>
      <c r="F14" s="535">
        <f t="shared" si="0"/>
        <v>44036.009999999995</v>
      </c>
      <c r="I14" s="525"/>
    </row>
    <row r="15" spans="1:9" ht="15">
      <c r="A15" s="536"/>
      <c r="B15" s="537">
        <v>72370</v>
      </c>
      <c r="C15" s="477">
        <f>2749.98</f>
        <v>2749.98</v>
      </c>
      <c r="D15" s="366">
        <f>2749.98</f>
        <v>2749.98</v>
      </c>
      <c r="E15" s="366">
        <v>2749.98</v>
      </c>
      <c r="F15" s="535">
        <f t="shared" si="0"/>
        <v>8249.94</v>
      </c>
      <c r="G15" s="527">
        <v>100000</v>
      </c>
      <c r="H15" s="527">
        <f>(G15-F13-F14-F15)</f>
        <v>-5753.949999999995</v>
      </c>
      <c r="I15" s="525"/>
    </row>
    <row r="16" spans="1:9" ht="15">
      <c r="A16" s="536"/>
      <c r="B16" s="537">
        <v>72399</v>
      </c>
      <c r="C16" s="477">
        <v>0</v>
      </c>
      <c r="D16" s="366">
        <f>6312.38+3900+25194.85+9800.02+4208.25+20000-2313.55</f>
        <v>67101.95</v>
      </c>
      <c r="E16" s="366">
        <f>1610.47+45800+13320+2875</f>
        <v>63605.47</v>
      </c>
      <c r="F16" s="535">
        <f t="shared" si="0"/>
        <v>130707.42</v>
      </c>
      <c r="I16" s="525"/>
    </row>
    <row r="17" spans="1:9" ht="15">
      <c r="A17" s="536"/>
      <c r="B17" s="537">
        <v>74510</v>
      </c>
      <c r="C17" s="477">
        <f>6248.89</f>
        <v>6248.89</v>
      </c>
      <c r="D17" s="366">
        <f>6137.19</f>
        <v>6137.19</v>
      </c>
      <c r="E17" s="366">
        <f>12939.43</f>
        <v>12939.43</v>
      </c>
      <c r="F17" s="535">
        <f t="shared" si="0"/>
        <v>25325.510000000002</v>
      </c>
      <c r="G17" s="527">
        <v>45000</v>
      </c>
      <c r="H17" s="527">
        <f>(G17-F17)</f>
        <v>19674.489999999998</v>
      </c>
      <c r="I17" s="525"/>
    </row>
    <row r="18" spans="1:9" ht="15">
      <c r="A18" s="538" t="s">
        <v>87</v>
      </c>
      <c r="B18" s="537"/>
      <c r="C18" s="477"/>
      <c r="D18" s="477"/>
      <c r="E18" s="477"/>
      <c r="F18" s="535"/>
      <c r="G18" s="539">
        <f>SUM(G7:G17)</f>
        <v>305000</v>
      </c>
      <c r="H18" s="539">
        <f>(G18-F18)</f>
        <v>305000</v>
      </c>
      <c r="I18" s="540"/>
    </row>
    <row r="19" spans="1:9" ht="15">
      <c r="A19" s="541" t="s">
        <v>82</v>
      </c>
      <c r="B19" s="542"/>
      <c r="C19" s="477"/>
      <c r="D19" s="366"/>
      <c r="E19" s="366"/>
      <c r="F19" s="535"/>
      <c r="I19" s="525"/>
    </row>
    <row r="20" spans="1:9" ht="15">
      <c r="A20" s="538"/>
      <c r="B20" s="537">
        <v>71620</v>
      </c>
      <c r="C20" s="477">
        <f>3545*3+2139-2139</f>
        <v>10635</v>
      </c>
      <c r="D20" s="366">
        <f>9174+11676-9174</f>
        <v>11676</v>
      </c>
      <c r="E20" s="366">
        <v>0</v>
      </c>
      <c r="F20" s="535">
        <f>SUM(C20:E20)</f>
        <v>22311</v>
      </c>
      <c r="G20" s="527">
        <v>80000</v>
      </c>
      <c r="H20" s="527">
        <f>(G20-F20)</f>
        <v>57689</v>
      </c>
      <c r="I20" s="525"/>
    </row>
    <row r="21" spans="1:9" ht="15">
      <c r="A21" s="538"/>
      <c r="B21" s="537">
        <v>71610</v>
      </c>
      <c r="C21" s="477">
        <f>3028</f>
        <v>3028</v>
      </c>
      <c r="D21" s="366">
        <v>0</v>
      </c>
      <c r="E21" s="366">
        <v>0</v>
      </c>
      <c r="F21" s="535">
        <f aca="true" t="shared" si="1" ref="F21:F31">SUM(C21:E21)</f>
        <v>3028</v>
      </c>
      <c r="I21" s="525"/>
    </row>
    <row r="22" spans="1:9" ht="15">
      <c r="A22" s="538"/>
      <c r="B22" s="537">
        <v>71615</v>
      </c>
      <c r="C22" s="477">
        <v>0</v>
      </c>
      <c r="D22" s="366">
        <f>22323.6</f>
        <v>22323.6</v>
      </c>
      <c r="E22" s="366">
        <v>0</v>
      </c>
      <c r="F22" s="535">
        <f t="shared" si="1"/>
        <v>22323.6</v>
      </c>
      <c r="I22" s="525"/>
    </row>
    <row r="23" spans="1:9" ht="15">
      <c r="A23" s="536"/>
      <c r="B23" s="537">
        <v>73410</v>
      </c>
      <c r="C23" s="477">
        <v>0</v>
      </c>
      <c r="D23" s="366">
        <v>0</v>
      </c>
      <c r="E23" s="366">
        <f>757.15+20000+21251.45</f>
        <v>42008.600000000006</v>
      </c>
      <c r="F23" s="535">
        <f t="shared" si="1"/>
        <v>42008.600000000006</v>
      </c>
      <c r="G23" s="527">
        <v>300000</v>
      </c>
      <c r="H23" s="527">
        <f>(G23-F23)</f>
        <v>257991.4</v>
      </c>
      <c r="I23" s="525"/>
    </row>
    <row r="24" spans="1:9" ht="15">
      <c r="A24" s="536"/>
      <c r="B24" s="537">
        <v>71800</v>
      </c>
      <c r="C24" s="477">
        <v>0</v>
      </c>
      <c r="D24" s="366">
        <v>0</v>
      </c>
      <c r="E24" s="366">
        <f>10268</f>
        <v>10268</v>
      </c>
      <c r="F24" s="535">
        <f t="shared" si="1"/>
        <v>10268</v>
      </c>
      <c r="I24" s="525"/>
    </row>
    <row r="25" spans="1:9" ht="15">
      <c r="A25" s="536"/>
      <c r="B25" s="537">
        <v>74100</v>
      </c>
      <c r="C25" s="477">
        <v>0</v>
      </c>
      <c r="D25" s="366">
        <v>0</v>
      </c>
      <c r="E25" s="366">
        <v>0</v>
      </c>
      <c r="F25" s="535">
        <f t="shared" si="1"/>
        <v>0</v>
      </c>
      <c r="I25" s="525"/>
    </row>
    <row r="26" spans="1:9" ht="15">
      <c r="A26" s="536"/>
      <c r="B26" s="537">
        <v>71305</v>
      </c>
      <c r="C26" s="477">
        <v>0</v>
      </c>
      <c r="D26" s="366">
        <f>224621.61+337643.99+283349.77</f>
        <v>845615.37</v>
      </c>
      <c r="E26" s="366">
        <f>454997+224621.61+272998.5</f>
        <v>952617.11</v>
      </c>
      <c r="F26" s="535">
        <f t="shared" si="1"/>
        <v>1798232.48</v>
      </c>
      <c r="G26" s="527">
        <v>25000</v>
      </c>
      <c r="H26" s="527">
        <f>(G26-F39-F24-F25-F26)</f>
        <v>-1792574.18</v>
      </c>
      <c r="I26" s="525"/>
    </row>
    <row r="27" spans="1:9" ht="15">
      <c r="A27" s="536"/>
      <c r="B27" s="537">
        <v>76100</v>
      </c>
      <c r="C27" s="477">
        <v>0</v>
      </c>
      <c r="D27" s="366">
        <v>0</v>
      </c>
      <c r="E27" s="366">
        <v>0</v>
      </c>
      <c r="F27" s="535">
        <f t="shared" si="1"/>
        <v>0</v>
      </c>
      <c r="I27" s="525"/>
    </row>
    <row r="28" spans="1:9" ht="15">
      <c r="A28" s="536"/>
      <c r="B28" s="537">
        <v>72399</v>
      </c>
      <c r="C28" s="477">
        <v>0</v>
      </c>
      <c r="D28" s="366">
        <v>0</v>
      </c>
      <c r="E28" s="366">
        <f>4222.23+3600-5801.8</f>
        <v>2020.4299999999994</v>
      </c>
      <c r="F28" s="535">
        <f t="shared" si="1"/>
        <v>2020.4299999999994</v>
      </c>
      <c r="I28" s="525"/>
    </row>
    <row r="29" spans="1:9" ht="15">
      <c r="A29" s="536"/>
      <c r="B29" s="537">
        <v>71405</v>
      </c>
      <c r="C29" s="477">
        <v>0</v>
      </c>
      <c r="D29" s="366">
        <f>800+800+800+800-1600</f>
        <v>1600</v>
      </c>
      <c r="E29" s="366">
        <f>1600</f>
        <v>1600</v>
      </c>
      <c r="F29" s="535">
        <f t="shared" si="1"/>
        <v>3200</v>
      </c>
      <c r="I29" s="525"/>
    </row>
    <row r="30" spans="1:9" ht="15">
      <c r="A30" s="536"/>
      <c r="B30" s="537">
        <v>72120</v>
      </c>
      <c r="C30" s="477">
        <v>0</v>
      </c>
      <c r="D30" s="366">
        <f>4248.68+18400+20010+17353.5</f>
        <v>60012.18</v>
      </c>
      <c r="E30" s="366">
        <f>32131+81360+2435.45+1132.75+5692.5+37363.5+32131</f>
        <v>192246.2</v>
      </c>
      <c r="F30" s="535">
        <f t="shared" si="1"/>
        <v>252258.38</v>
      </c>
      <c r="I30" s="525"/>
    </row>
    <row r="31" spans="1:9" ht="15">
      <c r="A31" s="536"/>
      <c r="B31" s="537">
        <v>74525</v>
      </c>
      <c r="C31" s="477">
        <f>3640</f>
        <v>3640</v>
      </c>
      <c r="D31" s="366">
        <f>741</f>
        <v>741</v>
      </c>
      <c r="E31" s="366">
        <v>0</v>
      </c>
      <c r="F31" s="535">
        <f t="shared" si="1"/>
        <v>4381</v>
      </c>
      <c r="I31" s="540"/>
    </row>
    <row r="32" spans="1:8" ht="15">
      <c r="A32" s="538" t="s">
        <v>88</v>
      </c>
      <c r="B32" s="537"/>
      <c r="C32" s="477"/>
      <c r="D32" s="366"/>
      <c r="E32" s="366"/>
      <c r="F32" s="535"/>
      <c r="G32" s="539">
        <f>SUM(G20:G31)</f>
        <v>405000</v>
      </c>
      <c r="H32" s="539">
        <f>(G32-F32)</f>
        <v>405000</v>
      </c>
    </row>
    <row r="33" spans="1:6" ht="15">
      <c r="A33" s="533" t="s">
        <v>83</v>
      </c>
      <c r="B33" s="537"/>
      <c r="C33" s="477"/>
      <c r="D33" s="366"/>
      <c r="E33" s="366"/>
      <c r="F33" s="535">
        <f t="shared" si="0"/>
        <v>0</v>
      </c>
    </row>
    <row r="34" spans="1:8" ht="15">
      <c r="A34" s="543" t="s">
        <v>115</v>
      </c>
      <c r="B34" s="537">
        <v>71305</v>
      </c>
      <c r="C34" s="477">
        <f>50445.04</f>
        <v>50445.04</v>
      </c>
      <c r="D34" s="366">
        <f>50445.04</f>
        <v>50445.04</v>
      </c>
      <c r="E34" s="366">
        <f>50445.04+25222.52</f>
        <v>75667.56</v>
      </c>
      <c r="F34" s="535">
        <f t="shared" si="0"/>
        <v>176557.64</v>
      </c>
      <c r="G34" s="527">
        <v>160000</v>
      </c>
      <c r="H34" s="527">
        <f>(G34-F34)</f>
        <v>-16557.640000000014</v>
      </c>
    </row>
    <row r="35" spans="1:6" ht="15">
      <c r="A35" s="538">
        <v>62180</v>
      </c>
      <c r="B35" s="537">
        <v>71305</v>
      </c>
      <c r="C35" s="477">
        <v>0</v>
      </c>
      <c r="D35" s="366">
        <v>0</v>
      </c>
      <c r="E35" s="366">
        <v>90870</v>
      </c>
      <c r="F35" s="535">
        <f t="shared" si="0"/>
        <v>90870</v>
      </c>
    </row>
    <row r="36" spans="1:6" ht="15">
      <c r="A36" s="536"/>
      <c r="B36" s="537">
        <v>71620</v>
      </c>
      <c r="C36" s="477">
        <f>34224+(2852*4)-375</f>
        <v>45257</v>
      </c>
      <c r="D36" s="477">
        <v>0</v>
      </c>
      <c r="E36" s="366">
        <v>0</v>
      </c>
      <c r="F36" s="535">
        <f t="shared" si="0"/>
        <v>45257</v>
      </c>
    </row>
    <row r="37" spans="1:6" ht="15">
      <c r="A37" s="536"/>
      <c r="B37" s="537">
        <v>71405</v>
      </c>
      <c r="C37" s="477">
        <v>0</v>
      </c>
      <c r="D37" s="477">
        <v>0</v>
      </c>
      <c r="E37" s="366">
        <f>315851.46</f>
        <v>315851.46</v>
      </c>
      <c r="F37" s="535">
        <f t="shared" si="0"/>
        <v>315851.46</v>
      </c>
    </row>
    <row r="38" spans="1:6" ht="15">
      <c r="A38" s="536"/>
      <c r="B38" s="537">
        <v>71635</v>
      </c>
      <c r="C38" s="477">
        <f>2044</f>
        <v>2044</v>
      </c>
      <c r="D38" s="477">
        <f>564.95</f>
        <v>564.95</v>
      </c>
      <c r="E38" s="366">
        <v>0</v>
      </c>
      <c r="F38" s="535">
        <f t="shared" si="0"/>
        <v>2608.95</v>
      </c>
    </row>
    <row r="39" spans="1:6" ht="15">
      <c r="A39" s="536"/>
      <c r="B39" s="537">
        <v>72510</v>
      </c>
      <c r="C39" s="477">
        <f>9073.7</f>
        <v>9073.7</v>
      </c>
      <c r="D39" s="477">
        <v>0</v>
      </c>
      <c r="E39" s="366">
        <v>0</v>
      </c>
      <c r="F39" s="535">
        <f t="shared" si="0"/>
        <v>9073.7</v>
      </c>
    </row>
    <row r="40" spans="1:9" ht="15">
      <c r="A40" s="536"/>
      <c r="B40" s="537">
        <v>72120</v>
      </c>
      <c r="C40" s="477">
        <f>16924</f>
        <v>16924</v>
      </c>
      <c r="D40" s="366">
        <f>39160+13425-6930.8</f>
        <v>45654.2</v>
      </c>
      <c r="E40" s="366">
        <v>0</v>
      </c>
      <c r="F40" s="535">
        <f t="shared" si="0"/>
        <v>62578.2</v>
      </c>
      <c r="G40" s="527">
        <v>10000</v>
      </c>
      <c r="H40" s="527" t="e">
        <f>(G40-#REF!-#REF!-F40)</f>
        <v>#REF!</v>
      </c>
      <c r="I40" s="540"/>
    </row>
    <row r="41" spans="1:9" ht="15">
      <c r="A41" s="536"/>
      <c r="B41" s="537">
        <v>72399</v>
      </c>
      <c r="C41" s="477"/>
      <c r="D41" s="366"/>
      <c r="E41" s="366">
        <f>29916.25</f>
        <v>29916.25</v>
      </c>
      <c r="F41" s="535">
        <f t="shared" si="0"/>
        <v>29916.25</v>
      </c>
      <c r="I41" s="540"/>
    </row>
    <row r="42" spans="1:9" ht="15">
      <c r="A42" s="538"/>
      <c r="B42" s="537"/>
      <c r="C42" s="477"/>
      <c r="D42" s="366"/>
      <c r="E42" s="366"/>
      <c r="F42" s="535">
        <f t="shared" si="0"/>
        <v>0</v>
      </c>
      <c r="I42" s="540"/>
    </row>
    <row r="43" spans="1:9" ht="15">
      <c r="A43" s="544" t="s">
        <v>235</v>
      </c>
      <c r="B43" s="537"/>
      <c r="C43" s="477"/>
      <c r="D43" s="366"/>
      <c r="E43" s="366"/>
      <c r="F43" s="535"/>
      <c r="I43" s="525"/>
    </row>
    <row r="44" spans="1:9" ht="15">
      <c r="A44" s="536"/>
      <c r="B44" s="537">
        <v>72120</v>
      </c>
      <c r="C44" s="477">
        <v>0</v>
      </c>
      <c r="D44" s="366">
        <v>0</v>
      </c>
      <c r="E44" s="366">
        <f>244950+146970</f>
        <v>391920</v>
      </c>
      <c r="F44" s="535">
        <f t="shared" si="0"/>
        <v>391920</v>
      </c>
      <c r="I44" s="540"/>
    </row>
    <row r="45" spans="1:9" ht="15">
      <c r="A45" s="538" t="s">
        <v>88</v>
      </c>
      <c r="B45" s="537"/>
      <c r="C45" s="477"/>
      <c r="D45" s="366"/>
      <c r="E45" s="366"/>
      <c r="F45" s="535"/>
      <c r="I45" s="525"/>
    </row>
    <row r="46" spans="1:10" ht="15">
      <c r="A46" s="475" t="s">
        <v>84</v>
      </c>
      <c r="B46" s="367"/>
      <c r="C46" s="368">
        <f>SUM(C7:C45)</f>
        <v>517872.81</v>
      </c>
      <c r="D46" s="368">
        <f>SUM(D7:D45)</f>
        <v>1775087.2399999995</v>
      </c>
      <c r="E46" s="368">
        <f>SUM(E7:E45)</f>
        <v>2583780.28</v>
      </c>
      <c r="F46" s="368">
        <f>SUM(C46:E46)</f>
        <v>4876740.329999999</v>
      </c>
      <c r="G46" s="545"/>
      <c r="I46" s="546"/>
      <c r="J46" s="547"/>
    </row>
    <row r="48" spans="1:10" s="551" customFormat="1" ht="15">
      <c r="A48" s="548"/>
      <c r="B48" s="549"/>
      <c r="C48" s="550"/>
      <c r="D48" s="549"/>
      <c r="E48" s="549"/>
      <c r="F48" s="136"/>
      <c r="G48" s="549"/>
      <c r="H48" s="549"/>
      <c r="I48" s="549"/>
      <c r="J48" s="132"/>
    </row>
    <row r="49" spans="1:9" s="551" customFormat="1" ht="15">
      <c r="A49" s="548"/>
      <c r="B49" s="550"/>
      <c r="C49" s="550"/>
      <c r="D49" s="550"/>
      <c r="E49" s="550"/>
      <c r="F49" s="550"/>
      <c r="G49" s="549"/>
      <c r="H49" s="549"/>
      <c r="I49" s="549"/>
    </row>
    <row r="50" spans="1:9" s="551" customFormat="1" ht="15">
      <c r="A50" s="548"/>
      <c r="B50" s="552"/>
      <c r="C50" s="550"/>
      <c r="D50" s="549"/>
      <c r="E50" s="552"/>
      <c r="F50" s="553"/>
      <c r="G50" s="549"/>
      <c r="H50" s="549"/>
      <c r="I50" s="549"/>
    </row>
    <row r="51" spans="1:6" ht="15">
      <c r="A51" s="474"/>
      <c r="C51" s="554"/>
      <c r="D51" s="545"/>
      <c r="F51" s="555"/>
    </row>
    <row r="52" ht="15">
      <c r="F52" s="545"/>
    </row>
    <row r="53" spans="1:6" ht="15">
      <c r="A53" s="476"/>
      <c r="F53" s="555"/>
    </row>
    <row r="55" spans="5:9" ht="15">
      <c r="E55" s="549"/>
      <c r="G55" s="525"/>
      <c r="H55" s="525"/>
      <c r="I55" s="525"/>
    </row>
    <row r="56" spans="5:9" ht="15">
      <c r="E56" s="121"/>
      <c r="G56" s="525"/>
      <c r="H56" s="525"/>
      <c r="I56" s="525"/>
    </row>
    <row r="58" spans="6:9" ht="15">
      <c r="F58" s="555"/>
      <c r="G58" s="525"/>
      <c r="H58" s="525"/>
      <c r="I58" s="525"/>
    </row>
    <row r="60" spans="5:9" ht="15">
      <c r="E60" s="545"/>
      <c r="G60" s="525"/>
      <c r="H60" s="525"/>
      <c r="I60" s="525"/>
    </row>
    <row r="61" spans="3:9" ht="15">
      <c r="C61" s="554"/>
      <c r="D61" s="545"/>
      <c r="E61" s="549"/>
      <c r="G61" s="525"/>
      <c r="H61" s="525"/>
      <c r="I61" s="525"/>
    </row>
    <row r="63" spans="5:9" ht="15">
      <c r="E63" s="549"/>
      <c r="G63" s="525"/>
      <c r="H63" s="525"/>
      <c r="I63" s="525"/>
    </row>
    <row r="64" spans="5:9" ht="15">
      <c r="E64" s="549"/>
      <c r="G64" s="525"/>
      <c r="H64" s="525"/>
      <c r="I64" s="525"/>
    </row>
    <row r="65" spans="5:9" ht="15">
      <c r="E65" s="549"/>
      <c r="G65" s="525"/>
      <c r="H65" s="525"/>
      <c r="I65" s="525"/>
    </row>
    <row r="66" spans="5:9" ht="15">
      <c r="E66" s="549"/>
      <c r="G66" s="525"/>
      <c r="H66" s="525"/>
      <c r="I66" s="525"/>
    </row>
    <row r="67" spans="5:9" ht="15">
      <c r="E67" s="549"/>
      <c r="G67" s="525"/>
      <c r="H67" s="525"/>
      <c r="I67" s="525"/>
    </row>
    <row r="68" spans="5:9" ht="15">
      <c r="E68" s="549"/>
      <c r="G68" s="525"/>
      <c r="H68" s="525"/>
      <c r="I68" s="525"/>
    </row>
    <row r="69" spans="5:9" ht="15">
      <c r="E69" s="549"/>
      <c r="G69" s="525"/>
      <c r="H69" s="525"/>
      <c r="I69" s="525"/>
    </row>
    <row r="70" spans="3:9" ht="15">
      <c r="C70" s="525"/>
      <c r="D70" s="525"/>
      <c r="E70" s="552"/>
      <c r="F70" s="525"/>
      <c r="G70" s="525"/>
      <c r="H70" s="525"/>
      <c r="I70" s="525"/>
    </row>
    <row r="71" spans="3:9" ht="15">
      <c r="C71" s="525"/>
      <c r="D71" s="525"/>
      <c r="E71" s="545"/>
      <c r="F71" s="525"/>
      <c r="G71" s="525"/>
      <c r="H71" s="525"/>
      <c r="I71" s="525"/>
    </row>
    <row r="100" spans="3:9" ht="15">
      <c r="C100" s="96"/>
      <c r="D100" s="525"/>
      <c r="E100" s="525"/>
      <c r="F100" s="525"/>
      <c r="G100" s="525"/>
      <c r="H100" s="525"/>
      <c r="I100" s="525"/>
    </row>
    <row r="101" spans="1:9" ht="15">
      <c r="A101" s="474"/>
      <c r="C101" s="121"/>
      <c r="D101" s="525"/>
      <c r="E101" s="525"/>
      <c r="F101" s="525"/>
      <c r="G101" s="525"/>
      <c r="H101" s="525"/>
      <c r="I101" s="525"/>
    </row>
    <row r="102" spans="3:9" ht="15">
      <c r="C102" s="551"/>
      <c r="D102" s="525"/>
      <c r="E102" s="525"/>
      <c r="F102" s="525"/>
      <c r="G102" s="525"/>
      <c r="H102" s="525"/>
      <c r="I102" s="525"/>
    </row>
  </sheetData>
  <sheetProtection/>
  <mergeCells count="1">
    <mergeCell ref="A3:F3"/>
  </mergeCells>
  <printOptions/>
  <pageMargins left="0.708661417322835" right="0.708661417322835" top="0.748031496062992" bottom="0.748031496062992" header="0.31496062992126" footer="0.31496062992126"/>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dimension ref="A1:G77"/>
  <sheetViews>
    <sheetView zoomScalePageLayoutView="0" workbookViewId="0" topLeftCell="A3">
      <selection activeCell="C15" sqref="C15"/>
    </sheetView>
  </sheetViews>
  <sheetFormatPr defaultColWidth="9.140625" defaultRowHeight="15"/>
  <cols>
    <col min="1" max="1" width="19.140625" style="97" customWidth="1"/>
    <col min="2" max="2" width="40.57421875" style="97" customWidth="1"/>
    <col min="3" max="3" width="21.421875" style="98" bestFit="1" customWidth="1"/>
    <col min="4" max="4" width="17.8515625" style="97" bestFit="1" customWidth="1"/>
    <col min="5" max="5" width="17.8515625" style="119" bestFit="1" customWidth="1"/>
    <col min="6" max="6" width="16.8515625" style="119" bestFit="1" customWidth="1"/>
    <col min="7" max="7" width="16.8515625" style="97" bestFit="1" customWidth="1"/>
    <col min="8" max="16384" width="9.140625" style="97" customWidth="1"/>
  </cols>
  <sheetData>
    <row r="1" spans="1:4" ht="15">
      <c r="A1" s="162" t="s">
        <v>313</v>
      </c>
      <c r="B1" s="163"/>
      <c r="C1" s="164"/>
      <c r="D1" s="101"/>
    </row>
    <row r="2" spans="1:4" ht="15">
      <c r="A2" s="102"/>
      <c r="B2" s="103"/>
      <c r="C2" s="104"/>
      <c r="D2" s="105"/>
    </row>
    <row r="3" spans="1:4" ht="15">
      <c r="A3" s="130">
        <v>42664</v>
      </c>
      <c r="B3" s="107" t="s">
        <v>91</v>
      </c>
      <c r="C3" s="108">
        <f>385841.6+2377954.5+2622045.55</f>
        <v>5385841.65</v>
      </c>
      <c r="D3" s="109"/>
    </row>
    <row r="4" spans="1:4" ht="15">
      <c r="A4" s="102"/>
      <c r="B4" s="111"/>
      <c r="C4" s="104"/>
      <c r="D4" s="105"/>
    </row>
    <row r="5" spans="1:4" ht="15">
      <c r="A5" s="102"/>
      <c r="B5" s="111" t="s">
        <v>92</v>
      </c>
      <c r="C5" s="182">
        <f>C8-C3</f>
        <v>-4846824.08</v>
      </c>
      <c r="D5" s="181"/>
    </row>
    <row r="6" spans="1:7" ht="15">
      <c r="A6" s="102"/>
      <c r="B6" s="103" t="s">
        <v>336</v>
      </c>
      <c r="C6" s="104"/>
      <c r="D6" s="181"/>
      <c r="G6" s="98"/>
    </row>
    <row r="7" spans="1:7" ht="15">
      <c r="A7" s="102"/>
      <c r="B7" s="103" t="s">
        <v>337</v>
      </c>
      <c r="C7" s="104"/>
      <c r="D7" s="181"/>
      <c r="G7" s="98"/>
    </row>
    <row r="8" spans="1:7" ht="30">
      <c r="A8" s="102"/>
      <c r="B8" s="111" t="s">
        <v>314</v>
      </c>
      <c r="C8" s="112">
        <v>539017.57</v>
      </c>
      <c r="D8" s="122"/>
      <c r="E8" s="124"/>
      <c r="G8" s="99"/>
    </row>
    <row r="9" spans="1:7" ht="15">
      <c r="A9" s="102"/>
      <c r="B9" s="103" t="s">
        <v>155</v>
      </c>
      <c r="C9" s="112"/>
      <c r="D9" s="122"/>
      <c r="E9" s="124"/>
      <c r="G9" s="99"/>
    </row>
    <row r="10" spans="1:7" ht="30">
      <c r="A10" s="102"/>
      <c r="B10" s="111" t="s">
        <v>315</v>
      </c>
      <c r="C10" s="112">
        <f>SUM(C8:C9)</f>
        <v>539017.57</v>
      </c>
      <c r="D10" s="122"/>
      <c r="E10" s="124"/>
      <c r="G10" s="99"/>
    </row>
    <row r="11" spans="1:7" ht="15">
      <c r="A11" s="102"/>
      <c r="B11" s="111"/>
      <c r="C11" s="112"/>
      <c r="D11" s="122"/>
      <c r="E11" s="124"/>
      <c r="G11" s="99"/>
    </row>
    <row r="12" spans="1:7" ht="15">
      <c r="A12" s="102"/>
      <c r="B12" s="359" t="s">
        <v>316</v>
      </c>
      <c r="C12" s="110">
        <v>0</v>
      </c>
      <c r="D12" s="113"/>
      <c r="G12" s="98"/>
    </row>
    <row r="13" spans="1:7" ht="15">
      <c r="A13" s="102"/>
      <c r="B13" s="359"/>
      <c r="C13" s="110"/>
      <c r="D13" s="113"/>
      <c r="G13" s="98"/>
    </row>
    <row r="14" spans="1:7" ht="15">
      <c r="A14" s="102"/>
      <c r="B14" s="359"/>
      <c r="C14" s="110">
        <f>C10+C12</f>
        <v>539017.57</v>
      </c>
      <c r="D14" s="113"/>
      <c r="G14" s="98"/>
    </row>
    <row r="15" spans="1:4" ht="30">
      <c r="A15" s="102"/>
      <c r="B15" s="128" t="s">
        <v>136</v>
      </c>
      <c r="C15" s="110">
        <v>-29916.25</v>
      </c>
      <c r="D15" s="181"/>
    </row>
    <row r="16" spans="1:4" ht="15">
      <c r="A16" s="102"/>
      <c r="B16" s="128"/>
      <c r="C16" s="110"/>
      <c r="D16" s="181"/>
    </row>
    <row r="17" spans="1:4" ht="15" thickBot="1">
      <c r="A17" s="454"/>
      <c r="B17" s="128"/>
      <c r="C17" s="110"/>
      <c r="D17" s="181"/>
    </row>
    <row r="18" spans="1:4" ht="30" thickBot="1">
      <c r="A18" s="106">
        <v>42735</v>
      </c>
      <c r="B18" s="129" t="s">
        <v>93</v>
      </c>
      <c r="C18" s="360">
        <f>C14+C15-C17</f>
        <v>509101.31999999995</v>
      </c>
      <c r="D18" s="114"/>
    </row>
    <row r="19" spans="1:4" ht="15" thickBot="1">
      <c r="A19" s="115"/>
      <c r="B19" s="116"/>
      <c r="C19" s="117"/>
      <c r="D19" s="118"/>
    </row>
    <row r="20" spans="1:4" ht="15">
      <c r="A20" s="100"/>
      <c r="D20" s="98"/>
    </row>
    <row r="21" spans="2:5" ht="15">
      <c r="B21" s="98"/>
      <c r="C21" s="361"/>
      <c r="D21" s="134"/>
      <c r="E21" s="556"/>
    </row>
    <row r="22" spans="2:5" ht="15">
      <c r="B22" s="98"/>
      <c r="C22" s="104"/>
      <c r="D22" s="133"/>
      <c r="E22" s="556"/>
    </row>
    <row r="23" spans="2:5" ht="15">
      <c r="B23" s="98"/>
      <c r="C23" s="104"/>
      <c r="D23" s="135"/>
      <c r="E23" s="556"/>
    </row>
    <row r="24" spans="1:5" ht="15">
      <c r="A24" s="405"/>
      <c r="B24" s="98"/>
      <c r="D24" s="135"/>
      <c r="E24" s="556"/>
    </row>
    <row r="25" spans="2:5" ht="15">
      <c r="B25" s="98"/>
      <c r="D25" s="135"/>
      <c r="E25" s="556"/>
    </row>
    <row r="26" spans="4:5" ht="15">
      <c r="D26" s="135"/>
      <c r="E26" s="556"/>
    </row>
    <row r="27" spans="4:5" ht="15">
      <c r="D27" s="135"/>
      <c r="E27" s="556"/>
    </row>
    <row r="57" ht="15">
      <c r="C57" s="406">
        <f>SUM(C23:C56)</f>
        <v>0</v>
      </c>
    </row>
    <row r="62" ht="15" thickBot="1"/>
    <row r="63" spans="1:4" ht="15">
      <c r="A63" s="162" t="s">
        <v>150</v>
      </c>
      <c r="B63" s="163"/>
      <c r="C63" s="164"/>
      <c r="D63" s="101"/>
    </row>
    <row r="64" spans="1:4" ht="15">
      <c r="A64" s="102"/>
      <c r="B64" s="103"/>
      <c r="C64" s="104"/>
      <c r="D64" s="105"/>
    </row>
    <row r="65" spans="1:4" ht="15">
      <c r="A65" s="130">
        <v>42506</v>
      </c>
      <c r="B65" s="107" t="s">
        <v>91</v>
      </c>
      <c r="C65" s="108">
        <f>4892950+4892950</f>
        <v>9785900</v>
      </c>
      <c r="D65" s="109"/>
    </row>
    <row r="66" spans="1:4" ht="15">
      <c r="A66" s="102"/>
      <c r="B66" s="123"/>
      <c r="C66" s="104"/>
      <c r="D66" s="105"/>
    </row>
    <row r="67" spans="1:4" ht="15">
      <c r="A67" s="102"/>
      <c r="B67" s="111" t="s">
        <v>92</v>
      </c>
      <c r="C67" s="182">
        <f>C69-C65</f>
        <v>-8700621.61</v>
      </c>
      <c r="D67" s="181"/>
    </row>
    <row r="68" spans="1:4" ht="15">
      <c r="A68" s="102"/>
      <c r="B68" s="103"/>
      <c r="C68" s="104"/>
      <c r="D68" s="181"/>
    </row>
    <row r="69" spans="1:4" ht="30">
      <c r="A69" s="102"/>
      <c r="B69" s="111" t="s">
        <v>151</v>
      </c>
      <c r="C69" s="112">
        <v>1085278.39</v>
      </c>
      <c r="D69" s="122"/>
    </row>
    <row r="70" spans="1:4" ht="15">
      <c r="A70" s="102"/>
      <c r="B70" s="111"/>
      <c r="C70" s="112"/>
      <c r="D70" s="122"/>
    </row>
    <row r="71" spans="1:4" ht="15">
      <c r="A71" s="102"/>
      <c r="B71" s="359" t="s">
        <v>141</v>
      </c>
      <c r="C71" s="110">
        <f>27391.95+90252+5+12000.01+613.56+1280+1280</f>
        <v>132822.52</v>
      </c>
      <c r="D71" s="113"/>
    </row>
    <row r="72" spans="1:4" ht="15">
      <c r="A72" s="102"/>
      <c r="B72" s="111"/>
      <c r="C72" s="112"/>
      <c r="D72" s="113"/>
    </row>
    <row r="73" spans="1:4" ht="30">
      <c r="A73" s="102"/>
      <c r="B73" s="128" t="s">
        <v>136</v>
      </c>
      <c r="C73" s="110">
        <v>13940</v>
      </c>
      <c r="D73" s="181"/>
    </row>
    <row r="74" spans="1:4" ht="15">
      <c r="A74" s="102"/>
      <c r="B74" s="128"/>
      <c r="C74" s="110"/>
      <c r="D74" s="181"/>
    </row>
    <row r="75" spans="1:4" ht="15" thickBot="1">
      <c r="A75" s="102"/>
      <c r="B75" s="128"/>
      <c r="C75" s="110"/>
      <c r="D75" s="181"/>
    </row>
    <row r="76" spans="1:4" ht="30" thickBot="1">
      <c r="A76" s="106">
        <v>42551</v>
      </c>
      <c r="B76" s="129" t="s">
        <v>93</v>
      </c>
      <c r="C76" s="360">
        <f>C69-C71-C73</f>
        <v>938515.8699999999</v>
      </c>
      <c r="D76" s="114"/>
    </row>
    <row r="77" spans="1:4" ht="15" thickBot="1">
      <c r="A77" s="115"/>
      <c r="B77" s="116"/>
      <c r="C77" s="117"/>
      <c r="D77" s="118"/>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3">
      <selection activeCell="A27" sqref="A27"/>
    </sheetView>
  </sheetViews>
  <sheetFormatPr defaultColWidth="9.140625" defaultRowHeight="15"/>
  <cols>
    <col min="1" max="1" width="27.57421875" style="0" customWidth="1"/>
    <col min="2" max="2" width="36.00390625" style="0" customWidth="1"/>
    <col min="3" max="3" width="23.140625" style="0" customWidth="1"/>
  </cols>
  <sheetData>
    <row r="1" spans="1:6" ht="15">
      <c r="A1" s="418" t="s">
        <v>338</v>
      </c>
      <c r="B1" s="419"/>
      <c r="C1" s="420"/>
      <c r="D1" s="421"/>
      <c r="E1" s="407"/>
      <c r="F1" s="407"/>
    </row>
    <row r="2" spans="1:6" ht="15">
      <c r="A2" s="422"/>
      <c r="B2" s="103"/>
      <c r="C2" s="408"/>
      <c r="D2" s="423"/>
      <c r="E2" s="407"/>
      <c r="F2" s="407"/>
    </row>
    <row r="3" spans="1:6" ht="15">
      <c r="A3" s="424">
        <v>42734</v>
      </c>
      <c r="B3" s="409" t="s">
        <v>94</v>
      </c>
      <c r="C3" s="410">
        <v>0</v>
      </c>
      <c r="D3" s="425"/>
      <c r="E3" s="407"/>
      <c r="F3" s="99"/>
    </row>
    <row r="4" spans="1:6" ht="15">
      <c r="A4" s="422"/>
      <c r="B4" s="123"/>
      <c r="C4" s="408"/>
      <c r="D4" s="423"/>
      <c r="E4" s="407"/>
      <c r="F4" s="407"/>
    </row>
    <row r="5" spans="1:6" ht="15">
      <c r="A5" s="422"/>
      <c r="B5" s="103" t="s">
        <v>89</v>
      </c>
      <c r="C5" s="411"/>
      <c r="D5" s="423"/>
      <c r="E5" s="407"/>
      <c r="F5" s="407"/>
    </row>
    <row r="6" spans="1:6" ht="15">
      <c r="A6" s="422"/>
      <c r="B6" s="416">
        <v>42634</v>
      </c>
      <c r="C6" s="415">
        <v>409286.92</v>
      </c>
      <c r="D6" s="426"/>
      <c r="E6" s="407"/>
      <c r="F6" s="125"/>
    </row>
    <row r="7" spans="1:6" ht="15">
      <c r="A7" s="428"/>
      <c r="B7" s="417"/>
      <c r="C7" s="437"/>
      <c r="D7" s="427"/>
      <c r="E7" s="99"/>
      <c r="F7" s="99"/>
    </row>
    <row r="8" spans="1:6" ht="15">
      <c r="A8" s="429"/>
      <c r="B8" s="103"/>
      <c r="C8" s="436"/>
      <c r="D8" s="427"/>
      <c r="E8" s="408"/>
      <c r="F8" s="408"/>
    </row>
    <row r="9" spans="1:6" ht="15.75" thickBot="1">
      <c r="A9" s="429"/>
      <c r="B9" s="434" t="s">
        <v>99</v>
      </c>
      <c r="C9" s="435">
        <f>C6</f>
        <v>409286.92</v>
      </c>
      <c r="D9" s="427"/>
      <c r="E9" s="408"/>
      <c r="F9" s="408"/>
    </row>
    <row r="10" spans="1:6" ht="15.75" thickTop="1">
      <c r="A10" s="430"/>
      <c r="B10" s="431"/>
      <c r="C10" s="432"/>
      <c r="D10" s="433"/>
      <c r="E10" s="407"/>
      <c r="F10" s="99"/>
    </row>
    <row r="11" spans="1:6" ht="15">
      <c r="A11" s="100"/>
      <c r="B11" s="407"/>
      <c r="C11" s="407"/>
      <c r="D11" s="407"/>
      <c r="E11" s="99"/>
      <c r="F11" s="407"/>
    </row>
    <row r="12" spans="1:6" ht="15">
      <c r="A12" s="407"/>
      <c r="B12" s="99"/>
      <c r="C12" s="412"/>
      <c r="D12" s="99"/>
      <c r="E12" s="99"/>
      <c r="F12" s="407"/>
    </row>
    <row r="13" spans="1:6" ht="15">
      <c r="A13" s="407"/>
      <c r="B13" s="99"/>
      <c r="C13" s="407"/>
      <c r="D13" s="99"/>
      <c r="E13" s="407"/>
      <c r="F13" s="407"/>
    </row>
    <row r="14" spans="1:6" ht="18">
      <c r="A14" s="407"/>
      <c r="B14" s="414"/>
      <c r="C14" s="413"/>
      <c r="D14" s="413"/>
      <c r="E14" s="407"/>
      <c r="F14" s="407"/>
    </row>
    <row r="15" spans="1:6" ht="15">
      <c r="A15" s="99"/>
      <c r="B15" s="99"/>
      <c r="C15" s="407"/>
      <c r="D15" s="99"/>
      <c r="E15" s="99"/>
      <c r="F15" s="407"/>
    </row>
    <row r="16" spans="1:6" ht="15">
      <c r="A16" s="407"/>
      <c r="B16" s="99"/>
      <c r="C16" s="407"/>
      <c r="D16" s="407"/>
      <c r="E16" s="407"/>
      <c r="F16" s="407"/>
    </row>
    <row r="17" ht="15">
      <c r="F17" s="99"/>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U72"/>
  <sheetViews>
    <sheetView tabSelected="1" zoomScalePageLayoutView="0" workbookViewId="0" topLeftCell="A1">
      <selection activeCell="B7" sqref="B7"/>
    </sheetView>
  </sheetViews>
  <sheetFormatPr defaultColWidth="9.140625" defaultRowHeight="15.75" customHeight="1"/>
  <cols>
    <col min="1" max="1" width="42.140625" style="138" customWidth="1"/>
    <col min="2" max="2" width="13.28125" style="138" customWidth="1"/>
    <col min="3" max="3" width="13.140625" style="146" customWidth="1"/>
    <col min="4" max="4" width="11.7109375" style="146" customWidth="1"/>
    <col min="5" max="5" width="10.57421875" style="146" customWidth="1"/>
    <col min="6" max="6" width="10.8515625" style="146" customWidth="1"/>
    <col min="7" max="7" width="11.7109375" style="146" customWidth="1"/>
    <col min="8" max="8" width="10.57421875" style="146" customWidth="1"/>
    <col min="9" max="9" width="11.7109375" style="146" customWidth="1"/>
    <col min="10" max="10" width="9.7109375" style="138" customWidth="1"/>
    <col min="11" max="11" width="10.00390625" style="138" customWidth="1"/>
    <col min="12" max="12" width="10.421875" style="138" customWidth="1"/>
    <col min="13" max="13" width="9.140625" style="138" customWidth="1"/>
    <col min="14" max="14" width="9.28125" style="138" customWidth="1"/>
    <col min="15" max="15" width="9.140625" style="138" customWidth="1"/>
    <col min="16" max="16" width="11.7109375" style="138" customWidth="1"/>
    <col min="17" max="17" width="12.140625" style="339" customWidth="1"/>
    <col min="18" max="16384" width="9.140625" style="138" customWidth="1"/>
  </cols>
  <sheetData>
    <row r="1" spans="1:12" ht="15.75" customHeight="1">
      <c r="A1" s="137" t="s">
        <v>354</v>
      </c>
      <c r="L1" s="139"/>
    </row>
    <row r="2" spans="2:13" ht="15.75" customHeight="1">
      <c r="B2" s="139"/>
      <c r="C2" s="331"/>
      <c r="D2" s="331"/>
      <c r="E2" s="331"/>
      <c r="F2" s="331"/>
      <c r="G2" s="331"/>
      <c r="H2" s="335"/>
      <c r="I2" s="335"/>
      <c r="J2" s="165"/>
      <c r="L2" s="165"/>
      <c r="M2" s="165"/>
    </row>
    <row r="3" spans="1:16" ht="15.75" customHeight="1">
      <c r="A3" s="140" t="s">
        <v>81</v>
      </c>
      <c r="B3" s="141">
        <v>71200</v>
      </c>
      <c r="C3" s="336">
        <v>71300</v>
      </c>
      <c r="D3" s="336">
        <v>71400</v>
      </c>
      <c r="E3" s="336">
        <v>71600</v>
      </c>
      <c r="F3" s="336">
        <v>71800</v>
      </c>
      <c r="G3" s="336">
        <v>72100</v>
      </c>
      <c r="H3" s="336">
        <v>72200</v>
      </c>
      <c r="I3" s="336">
        <v>72300</v>
      </c>
      <c r="J3" s="141">
        <v>72400</v>
      </c>
      <c r="K3" s="141">
        <v>72500</v>
      </c>
      <c r="L3" s="141">
        <v>73400</v>
      </c>
      <c r="M3" s="141">
        <v>74100</v>
      </c>
      <c r="N3" s="352">
        <v>74200</v>
      </c>
      <c r="O3" s="352">
        <v>74500</v>
      </c>
      <c r="P3" s="352">
        <v>75700</v>
      </c>
    </row>
    <row r="4" spans="1:16" ht="31.5" customHeight="1">
      <c r="A4" s="457" t="s">
        <v>140</v>
      </c>
      <c r="B4" s="337"/>
      <c r="C4" s="458">
        <v>322000</v>
      </c>
      <c r="D4" s="458"/>
      <c r="E4" s="382"/>
      <c r="F4" s="383"/>
      <c r="G4" s="383"/>
      <c r="H4" s="383"/>
      <c r="I4" s="383"/>
      <c r="J4" s="383"/>
      <c r="K4" s="383"/>
      <c r="L4" s="383"/>
      <c r="M4" s="383"/>
      <c r="N4" s="459"/>
      <c r="O4" s="459"/>
      <c r="P4" s="386"/>
    </row>
    <row r="5" spans="1:16" ht="15.75" customHeight="1">
      <c r="A5" s="391" t="s">
        <v>161</v>
      </c>
      <c r="B5" s="338"/>
      <c r="C5" s="387"/>
      <c r="D5" s="387"/>
      <c r="E5" s="382">
        <v>50000</v>
      </c>
      <c r="F5" s="383"/>
      <c r="G5" s="383"/>
      <c r="H5" s="383"/>
      <c r="I5" s="383"/>
      <c r="J5" s="383"/>
      <c r="K5" s="383"/>
      <c r="L5" s="383"/>
      <c r="M5" s="383"/>
      <c r="N5" s="459"/>
      <c r="O5" s="459"/>
      <c r="P5" s="386"/>
    </row>
    <row r="6" spans="1:16" ht="36.75" customHeight="1">
      <c r="A6" s="570" t="s">
        <v>342</v>
      </c>
      <c r="B6" s="338"/>
      <c r="C6" s="387"/>
      <c r="D6" s="387"/>
      <c r="E6" s="382"/>
      <c r="F6" s="383"/>
      <c r="G6" s="383">
        <v>35000</v>
      </c>
      <c r="H6" s="383"/>
      <c r="I6" s="383"/>
      <c r="J6" s="383"/>
      <c r="K6" s="383"/>
      <c r="L6" s="383"/>
      <c r="M6" s="383"/>
      <c r="N6" s="459"/>
      <c r="O6" s="459"/>
      <c r="P6" s="386"/>
    </row>
    <row r="7" spans="1:16" ht="43.5" customHeight="1">
      <c r="A7" s="457" t="s">
        <v>350</v>
      </c>
      <c r="B7" s="337"/>
      <c r="C7" s="458"/>
      <c r="D7" s="458"/>
      <c r="E7" s="382"/>
      <c r="F7" s="383"/>
      <c r="G7" s="383"/>
      <c r="H7" s="383"/>
      <c r="I7" s="383"/>
      <c r="J7" s="383"/>
      <c r="K7" s="383"/>
      <c r="L7" s="383"/>
      <c r="M7" s="383"/>
      <c r="N7" s="459"/>
      <c r="O7" s="459"/>
      <c r="P7" s="386"/>
    </row>
    <row r="8" spans="1:16" ht="15.75" customHeight="1">
      <c r="A8" s="457" t="s">
        <v>130</v>
      </c>
      <c r="B8" s="666"/>
      <c r="C8" s="458"/>
      <c r="D8" s="458">
        <v>1300000</v>
      </c>
      <c r="E8" s="382"/>
      <c r="F8" s="383"/>
      <c r="G8" s="383"/>
      <c r="H8" s="383"/>
      <c r="I8" s="383"/>
      <c r="J8" s="383"/>
      <c r="K8" s="383"/>
      <c r="L8" s="383"/>
      <c r="M8" s="383"/>
      <c r="N8" s="459"/>
      <c r="O8" s="459"/>
      <c r="P8" s="459"/>
    </row>
    <row r="9" spans="1:16" ht="15.75" customHeight="1">
      <c r="A9" s="457" t="s">
        <v>142</v>
      </c>
      <c r="B9" s="666"/>
      <c r="C9" s="458"/>
      <c r="D9" s="458"/>
      <c r="E9" s="382"/>
      <c r="F9" s="383"/>
      <c r="G9" s="383"/>
      <c r="H9" s="383"/>
      <c r="I9" s="383"/>
      <c r="J9" s="383">
        <v>30000</v>
      </c>
      <c r="K9" s="383"/>
      <c r="L9" s="383"/>
      <c r="M9" s="383"/>
      <c r="N9" s="459"/>
      <c r="O9" s="459"/>
      <c r="P9" s="459"/>
    </row>
    <row r="10" spans="1:16" ht="27.75" customHeight="1">
      <c r="A10" s="457" t="s">
        <v>341</v>
      </c>
      <c r="B10" s="666"/>
      <c r="C10" s="458"/>
      <c r="D10" s="458"/>
      <c r="E10" s="382"/>
      <c r="F10" s="383"/>
      <c r="G10" s="383"/>
      <c r="H10" s="383"/>
      <c r="I10" s="383"/>
      <c r="J10" s="383"/>
      <c r="K10" s="383"/>
      <c r="L10" s="383">
        <v>30000</v>
      </c>
      <c r="M10" s="383"/>
      <c r="N10" s="459"/>
      <c r="O10" s="459"/>
      <c r="P10" s="459"/>
    </row>
    <row r="11" spans="1:16" ht="55.5" customHeight="1">
      <c r="A11" s="457" t="s">
        <v>351</v>
      </c>
      <c r="B11" s="666"/>
      <c r="C11" s="458"/>
      <c r="D11" s="458"/>
      <c r="E11" s="382"/>
      <c r="F11" s="383"/>
      <c r="G11" s="383"/>
      <c r="H11" s="383"/>
      <c r="I11" s="383"/>
      <c r="J11" s="383"/>
      <c r="K11" s="383"/>
      <c r="L11" s="383"/>
      <c r="M11" s="383"/>
      <c r="N11" s="459"/>
      <c r="O11" s="459"/>
      <c r="P11" s="459">
        <v>200000</v>
      </c>
    </row>
    <row r="12" spans="1:16" ht="15.75" customHeight="1" thickBot="1">
      <c r="A12" s="457" t="s">
        <v>116</v>
      </c>
      <c r="B12" s="666"/>
      <c r="C12" s="458"/>
      <c r="D12" s="458"/>
      <c r="E12" s="388"/>
      <c r="F12" s="389"/>
      <c r="G12" s="389"/>
      <c r="H12" s="389"/>
      <c r="I12" s="389"/>
      <c r="J12" s="389"/>
      <c r="K12" s="389"/>
      <c r="L12" s="389"/>
      <c r="M12" s="389"/>
      <c r="N12" s="460"/>
      <c r="O12" s="459">
        <v>25000</v>
      </c>
      <c r="P12" s="459"/>
    </row>
    <row r="13" spans="1:17" s="371" customFormat="1" ht="15.75" customHeight="1" thickBot="1">
      <c r="A13" s="347" t="s">
        <v>137</v>
      </c>
      <c r="B13" s="374">
        <f aca="true" t="shared" si="0" ref="B13:P13">SUM(B4:B12)</f>
        <v>0</v>
      </c>
      <c r="C13" s="670">
        <f t="shared" si="0"/>
        <v>322000</v>
      </c>
      <c r="D13" s="375">
        <f t="shared" si="0"/>
        <v>1300000</v>
      </c>
      <c r="E13" s="376">
        <f t="shared" si="0"/>
        <v>50000</v>
      </c>
      <c r="F13" s="375">
        <f t="shared" si="0"/>
        <v>0</v>
      </c>
      <c r="G13" s="376">
        <f t="shared" si="0"/>
        <v>35000</v>
      </c>
      <c r="H13" s="375">
        <f t="shared" si="0"/>
        <v>0</v>
      </c>
      <c r="I13" s="671">
        <f t="shared" si="0"/>
        <v>0</v>
      </c>
      <c r="J13" s="670">
        <f t="shared" si="0"/>
        <v>30000</v>
      </c>
      <c r="K13" s="375">
        <f t="shared" si="0"/>
        <v>0</v>
      </c>
      <c r="L13" s="672">
        <f t="shared" si="0"/>
        <v>30000</v>
      </c>
      <c r="M13" s="377">
        <f t="shared" si="0"/>
        <v>0</v>
      </c>
      <c r="N13" s="377">
        <f t="shared" si="0"/>
        <v>0</v>
      </c>
      <c r="O13" s="377">
        <f t="shared" si="0"/>
        <v>25000</v>
      </c>
      <c r="P13" s="377">
        <f t="shared" si="0"/>
        <v>200000</v>
      </c>
      <c r="Q13" s="398">
        <f>SUM(B13:P13)</f>
        <v>1992000</v>
      </c>
    </row>
    <row r="14" spans="1:13" ht="15.75" customHeight="1">
      <c r="A14" s="143"/>
      <c r="B14" s="348"/>
      <c r="C14" s="349"/>
      <c r="D14" s="350"/>
      <c r="E14" s="350"/>
      <c r="F14" s="350"/>
      <c r="G14" s="350"/>
      <c r="H14" s="350"/>
      <c r="I14" s="350"/>
      <c r="J14" s="351"/>
      <c r="K14" s="351"/>
      <c r="L14" s="351"/>
      <c r="M14" s="351"/>
    </row>
    <row r="15" spans="1:16" ht="15.75" customHeight="1">
      <c r="A15" s="140" t="s">
        <v>82</v>
      </c>
      <c r="B15" s="141">
        <v>71200</v>
      </c>
      <c r="C15" s="336">
        <v>71300</v>
      </c>
      <c r="D15" s="336">
        <v>71400</v>
      </c>
      <c r="E15" s="336">
        <v>71600</v>
      </c>
      <c r="F15" s="336">
        <v>71800</v>
      </c>
      <c r="G15" s="336">
        <v>72100</v>
      </c>
      <c r="H15" s="336">
        <v>72200</v>
      </c>
      <c r="I15" s="336">
        <v>72300</v>
      </c>
      <c r="J15" s="141">
        <v>72400</v>
      </c>
      <c r="K15" s="141">
        <v>72500</v>
      </c>
      <c r="L15" s="141">
        <v>73400</v>
      </c>
      <c r="M15" s="141">
        <v>74100</v>
      </c>
      <c r="N15" s="352">
        <v>74200</v>
      </c>
      <c r="O15" s="352">
        <v>74500</v>
      </c>
      <c r="P15" s="352">
        <v>75700</v>
      </c>
    </row>
    <row r="16" spans="1:255" ht="15.75" customHeight="1">
      <c r="A16" s="390" t="s">
        <v>149</v>
      </c>
      <c r="B16" s="668"/>
      <c r="C16" s="461"/>
      <c r="D16" s="462"/>
      <c r="E16" s="378">
        <v>45000</v>
      </c>
      <c r="F16" s="379"/>
      <c r="G16" s="379"/>
      <c r="H16" s="379"/>
      <c r="I16" s="379"/>
      <c r="J16" s="379"/>
      <c r="K16" s="379"/>
      <c r="L16" s="379"/>
      <c r="M16" s="380"/>
      <c r="N16" s="381"/>
      <c r="O16" s="381"/>
      <c r="P16" s="381"/>
      <c r="Q16" s="340"/>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c r="IR16" s="139"/>
      <c r="IS16" s="139"/>
      <c r="IT16" s="139"/>
      <c r="IU16" s="139"/>
    </row>
    <row r="17" spans="1:16" ht="46.5" customHeight="1">
      <c r="A17" s="455" t="s">
        <v>343</v>
      </c>
      <c r="B17" s="668"/>
      <c r="C17" s="461"/>
      <c r="D17" s="462"/>
      <c r="E17" s="382"/>
      <c r="F17" s="383">
        <v>40000</v>
      </c>
      <c r="G17" s="383"/>
      <c r="H17" s="383"/>
      <c r="I17" s="383"/>
      <c r="J17" s="383"/>
      <c r="K17" s="383"/>
      <c r="L17" s="383"/>
      <c r="M17" s="384"/>
      <c r="N17" s="381"/>
      <c r="O17" s="381"/>
      <c r="P17" s="381"/>
    </row>
    <row r="18" spans="1:16" ht="15.75" customHeight="1">
      <c r="A18" s="456" t="s">
        <v>349</v>
      </c>
      <c r="B18" s="668"/>
      <c r="C18" s="461"/>
      <c r="D18" s="462"/>
      <c r="E18" s="382"/>
      <c r="F18" s="383"/>
      <c r="G18" s="383"/>
      <c r="H18" s="383"/>
      <c r="I18" s="383"/>
      <c r="J18" s="383">
        <v>30000</v>
      </c>
      <c r="K18" s="383"/>
      <c r="L18" s="383"/>
      <c r="M18" s="384"/>
      <c r="N18" s="381"/>
      <c r="O18" s="381"/>
      <c r="P18" s="381"/>
    </row>
    <row r="19" spans="1:16" ht="48" customHeight="1">
      <c r="A19" s="455" t="s">
        <v>159</v>
      </c>
      <c r="B19" s="668"/>
      <c r="C19" s="461">
        <v>1300000</v>
      </c>
      <c r="D19" s="462"/>
      <c r="E19" s="382"/>
      <c r="F19" s="383"/>
      <c r="G19" s="383"/>
      <c r="H19" s="383"/>
      <c r="I19" s="383"/>
      <c r="J19" s="383"/>
      <c r="K19" s="383"/>
      <c r="L19" s="383"/>
      <c r="M19" s="384"/>
      <c r="N19" s="381"/>
      <c r="O19" s="381"/>
      <c r="P19" s="381"/>
    </row>
    <row r="20" spans="1:16" ht="15.75" customHeight="1">
      <c r="A20" s="456" t="s">
        <v>112</v>
      </c>
      <c r="B20" s="668"/>
      <c r="C20" s="461"/>
      <c r="D20" s="462"/>
      <c r="E20" s="382"/>
      <c r="F20" s="383"/>
      <c r="G20" s="383"/>
      <c r="H20" s="383"/>
      <c r="I20" s="383">
        <v>50000</v>
      </c>
      <c r="J20" s="383"/>
      <c r="K20" s="383"/>
      <c r="L20" s="383"/>
      <c r="M20" s="384"/>
      <c r="N20" s="381"/>
      <c r="O20" s="381"/>
      <c r="P20" s="381"/>
    </row>
    <row r="21" spans="1:16" ht="40.5" customHeight="1">
      <c r="A21" s="455" t="s">
        <v>344</v>
      </c>
      <c r="B21" s="668"/>
      <c r="C21" s="461"/>
      <c r="D21" s="462"/>
      <c r="E21" s="382"/>
      <c r="F21" s="383"/>
      <c r="G21" s="383"/>
      <c r="H21" s="383"/>
      <c r="I21" s="383"/>
      <c r="J21" s="383"/>
      <c r="K21" s="383"/>
      <c r="L21" s="383"/>
      <c r="M21" s="384"/>
      <c r="N21" s="381"/>
      <c r="O21" s="381"/>
      <c r="P21" s="381"/>
    </row>
    <row r="22" spans="1:16" ht="15.75" customHeight="1">
      <c r="A22" s="457" t="s">
        <v>160</v>
      </c>
      <c r="B22" s="462"/>
      <c r="C22" s="461"/>
      <c r="D22" s="462"/>
      <c r="E22" s="382"/>
      <c r="F22" s="383"/>
      <c r="G22" s="383"/>
      <c r="H22" s="383"/>
      <c r="I22" s="383"/>
      <c r="J22" s="383"/>
      <c r="K22" s="383"/>
      <c r="L22" s="383">
        <v>30000</v>
      </c>
      <c r="M22" s="384"/>
      <c r="N22" s="381"/>
      <c r="O22" s="381"/>
      <c r="P22" s="381"/>
    </row>
    <row r="23" spans="1:16" ht="15.75" customHeight="1">
      <c r="A23" s="571" t="s">
        <v>348</v>
      </c>
      <c r="B23" s="668"/>
      <c r="C23" s="461"/>
      <c r="D23" s="462"/>
      <c r="E23" s="382"/>
      <c r="F23" s="383"/>
      <c r="G23" s="383"/>
      <c r="H23" s="383"/>
      <c r="I23" s="383"/>
      <c r="J23" s="383"/>
      <c r="K23" s="383"/>
      <c r="L23" s="383"/>
      <c r="M23" s="384"/>
      <c r="N23" s="381"/>
      <c r="O23" s="381"/>
      <c r="P23" s="381">
        <v>100000</v>
      </c>
    </row>
    <row r="24" spans="1:16" ht="15.75" customHeight="1" thickBot="1">
      <c r="A24" s="456" t="s">
        <v>116</v>
      </c>
      <c r="B24" s="668"/>
      <c r="C24" s="461"/>
      <c r="D24" s="462"/>
      <c r="E24" s="382"/>
      <c r="F24" s="383"/>
      <c r="G24" s="383"/>
      <c r="H24" s="383"/>
      <c r="I24" s="383"/>
      <c r="J24" s="383"/>
      <c r="K24" s="383"/>
      <c r="L24" s="383"/>
      <c r="M24" s="384"/>
      <c r="N24" s="383"/>
      <c r="O24" s="381">
        <v>25000</v>
      </c>
      <c r="P24" s="381"/>
    </row>
    <row r="25" spans="1:17" s="371" customFormat="1" ht="15.75" customHeight="1" thickBot="1">
      <c r="A25" s="355" t="s">
        <v>137</v>
      </c>
      <c r="B25" s="370">
        <f aca="true" t="shared" si="1" ref="B25:P25">SUM(B16:B24)</f>
        <v>0</v>
      </c>
      <c r="C25" s="370">
        <f t="shared" si="1"/>
        <v>1300000</v>
      </c>
      <c r="D25" s="370">
        <f t="shared" si="1"/>
        <v>0</v>
      </c>
      <c r="E25" s="370">
        <f t="shared" si="1"/>
        <v>45000</v>
      </c>
      <c r="F25" s="370">
        <f t="shared" si="1"/>
        <v>40000</v>
      </c>
      <c r="G25" s="370">
        <f t="shared" si="1"/>
        <v>0</v>
      </c>
      <c r="H25" s="370">
        <f t="shared" si="1"/>
        <v>0</v>
      </c>
      <c r="I25" s="370">
        <f t="shared" si="1"/>
        <v>50000</v>
      </c>
      <c r="J25" s="370">
        <f t="shared" si="1"/>
        <v>30000</v>
      </c>
      <c r="K25" s="370">
        <f t="shared" si="1"/>
        <v>0</v>
      </c>
      <c r="L25" s="370">
        <f t="shared" si="1"/>
        <v>30000</v>
      </c>
      <c r="M25" s="370">
        <f t="shared" si="1"/>
        <v>0</v>
      </c>
      <c r="N25" s="370">
        <f t="shared" si="1"/>
        <v>0</v>
      </c>
      <c r="O25" s="370">
        <f t="shared" si="1"/>
        <v>25000</v>
      </c>
      <c r="P25" s="669">
        <f t="shared" si="1"/>
        <v>100000</v>
      </c>
      <c r="Q25" s="393">
        <f>SUM(B25:P25)</f>
        <v>1620000</v>
      </c>
    </row>
    <row r="26" spans="1:16" ht="15.75" customHeight="1">
      <c r="A26" s="142"/>
      <c r="B26" s="330"/>
      <c r="C26" s="332"/>
      <c r="D26" s="332"/>
      <c r="E26" s="332"/>
      <c r="F26" s="332"/>
      <c r="G26" s="332"/>
      <c r="H26" s="332"/>
      <c r="I26" s="332"/>
      <c r="J26" s="330"/>
      <c r="K26" s="330"/>
      <c r="L26" s="330"/>
      <c r="M26" s="354"/>
      <c r="N26" s="356"/>
      <c r="O26" s="356"/>
      <c r="P26" s="356"/>
    </row>
    <row r="27" spans="1:16" s="340" customFormat="1" ht="15.75" customHeight="1">
      <c r="A27" s="341" t="s">
        <v>83</v>
      </c>
      <c r="B27" s="342">
        <v>71200</v>
      </c>
      <c r="C27" s="342">
        <v>71300</v>
      </c>
      <c r="D27" s="342">
        <v>71400</v>
      </c>
      <c r="E27" s="343">
        <v>71600</v>
      </c>
      <c r="F27" s="343">
        <v>71800</v>
      </c>
      <c r="G27" s="343">
        <v>72100</v>
      </c>
      <c r="H27" s="343">
        <v>72200</v>
      </c>
      <c r="I27" s="343">
        <v>72300</v>
      </c>
      <c r="J27" s="343">
        <v>72400</v>
      </c>
      <c r="K27" s="343">
        <v>72500</v>
      </c>
      <c r="L27" s="343">
        <v>73400</v>
      </c>
      <c r="M27" s="353">
        <v>74100</v>
      </c>
      <c r="N27" s="352">
        <v>74200</v>
      </c>
      <c r="O27" s="352">
        <v>74500</v>
      </c>
      <c r="P27" s="352">
        <v>75700</v>
      </c>
    </row>
    <row r="28" spans="1:16" ht="15.75" customHeight="1">
      <c r="A28" s="455" t="s">
        <v>346</v>
      </c>
      <c r="B28" s="666"/>
      <c r="C28" s="458"/>
      <c r="D28" s="458"/>
      <c r="E28" s="382"/>
      <c r="F28" s="383"/>
      <c r="G28" s="383"/>
      <c r="H28" s="383"/>
      <c r="I28" s="383"/>
      <c r="J28" s="383"/>
      <c r="K28" s="383"/>
      <c r="L28" s="383"/>
      <c r="M28" s="384"/>
      <c r="N28" s="381"/>
      <c r="O28" s="381"/>
      <c r="P28" s="385"/>
    </row>
    <row r="29" spans="1:255" ht="40.5" customHeight="1">
      <c r="A29" s="455" t="s">
        <v>345</v>
      </c>
      <c r="B29" s="666"/>
      <c r="C29" s="458">
        <v>1076225</v>
      </c>
      <c r="D29" s="458"/>
      <c r="E29" s="382"/>
      <c r="F29" s="383"/>
      <c r="G29" s="383"/>
      <c r="H29" s="383"/>
      <c r="I29" s="383"/>
      <c r="J29" s="383"/>
      <c r="K29" s="383"/>
      <c r="L29" s="383"/>
      <c r="M29" s="384"/>
      <c r="N29" s="383"/>
      <c r="O29" s="383"/>
      <c r="P29" s="383"/>
      <c r="Q29" s="363"/>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row>
    <row r="30" spans="1:255" ht="15.75" customHeight="1">
      <c r="A30" s="455" t="s">
        <v>347</v>
      </c>
      <c r="B30" s="666"/>
      <c r="C30" s="458"/>
      <c r="D30" s="458"/>
      <c r="E30" s="382">
        <v>80000</v>
      </c>
      <c r="F30" s="383"/>
      <c r="G30" s="383"/>
      <c r="H30" s="383"/>
      <c r="I30" s="383"/>
      <c r="J30" s="383"/>
      <c r="K30" s="383"/>
      <c r="L30" s="383"/>
      <c r="M30" s="384"/>
      <c r="N30" s="383"/>
      <c r="O30" s="383"/>
      <c r="P30" s="383"/>
      <c r="Q30" s="363"/>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row>
    <row r="31" spans="1:16" ht="15.75" customHeight="1">
      <c r="A31" s="456" t="s">
        <v>144</v>
      </c>
      <c r="B31" s="666"/>
      <c r="C31" s="458">
        <v>160000</v>
      </c>
      <c r="D31" s="458"/>
      <c r="E31" s="382"/>
      <c r="F31" s="383"/>
      <c r="G31" s="383"/>
      <c r="H31" s="383"/>
      <c r="I31" s="383"/>
      <c r="J31" s="383"/>
      <c r="K31" s="383"/>
      <c r="L31" s="383"/>
      <c r="M31" s="384"/>
      <c r="N31" s="381"/>
      <c r="O31" s="381"/>
      <c r="P31" s="385"/>
    </row>
    <row r="32" spans="1:16" ht="15.75" customHeight="1">
      <c r="A32" s="455" t="s">
        <v>113</v>
      </c>
      <c r="B32" s="666"/>
      <c r="C32" s="458"/>
      <c r="D32" s="458"/>
      <c r="E32" s="382"/>
      <c r="F32" s="383"/>
      <c r="G32" s="383">
        <v>30000</v>
      </c>
      <c r="H32" s="383"/>
      <c r="I32" s="383"/>
      <c r="J32" s="383"/>
      <c r="K32" s="383"/>
      <c r="L32" s="383"/>
      <c r="M32" s="384"/>
      <c r="N32" s="381"/>
      <c r="O32" s="381"/>
      <c r="P32" s="385"/>
    </row>
    <row r="33" spans="1:16" ht="15.75" customHeight="1" thickBot="1">
      <c r="A33" s="457" t="s">
        <v>160</v>
      </c>
      <c r="B33" s="666"/>
      <c r="C33" s="458"/>
      <c r="D33" s="458"/>
      <c r="E33" s="382"/>
      <c r="F33" s="383"/>
      <c r="G33" s="383"/>
      <c r="H33" s="383"/>
      <c r="I33" s="383"/>
      <c r="J33" s="383"/>
      <c r="K33" s="383"/>
      <c r="L33" s="383">
        <v>20000</v>
      </c>
      <c r="M33" s="384"/>
      <c r="N33" s="381"/>
      <c r="O33" s="381"/>
      <c r="P33" s="385"/>
    </row>
    <row r="34" spans="1:17" s="371" customFormat="1" ht="15.75" customHeight="1" thickBot="1">
      <c r="A34" s="355" t="s">
        <v>137</v>
      </c>
      <c r="B34" s="667">
        <f aca="true" t="shared" si="2" ref="B34:P34">SUM(B28:B33)</f>
        <v>0</v>
      </c>
      <c r="C34" s="667">
        <f t="shared" si="2"/>
        <v>1236225</v>
      </c>
      <c r="D34" s="667">
        <f t="shared" si="2"/>
        <v>0</v>
      </c>
      <c r="E34" s="667">
        <f t="shared" si="2"/>
        <v>80000</v>
      </c>
      <c r="F34" s="667">
        <f t="shared" si="2"/>
        <v>0</v>
      </c>
      <c r="G34" s="667">
        <f t="shared" si="2"/>
        <v>30000</v>
      </c>
      <c r="H34" s="667">
        <f t="shared" si="2"/>
        <v>0</v>
      </c>
      <c r="I34" s="667">
        <f t="shared" si="2"/>
        <v>0</v>
      </c>
      <c r="J34" s="667">
        <f t="shared" si="2"/>
        <v>0</v>
      </c>
      <c r="K34" s="667">
        <f t="shared" si="2"/>
        <v>0</v>
      </c>
      <c r="L34" s="667">
        <f t="shared" si="2"/>
        <v>20000</v>
      </c>
      <c r="M34" s="667">
        <f t="shared" si="2"/>
        <v>0</v>
      </c>
      <c r="N34" s="667">
        <f t="shared" si="2"/>
        <v>0</v>
      </c>
      <c r="O34" s="667">
        <f t="shared" si="2"/>
        <v>0</v>
      </c>
      <c r="P34" s="394">
        <f t="shared" si="2"/>
        <v>0</v>
      </c>
      <c r="Q34" s="395">
        <f>SUM(B34:P34)</f>
        <v>1366225</v>
      </c>
    </row>
    <row r="35" spans="1:255" ht="15.75" customHeight="1" thickBot="1">
      <c r="A35" s="344"/>
      <c r="B35" s="345"/>
      <c r="C35" s="346"/>
      <c r="D35" s="346"/>
      <c r="E35" s="346"/>
      <c r="F35" s="346"/>
      <c r="G35" s="346"/>
      <c r="H35" s="346"/>
      <c r="I35" s="346"/>
      <c r="J35" s="345"/>
      <c r="K35" s="345"/>
      <c r="L35" s="345"/>
      <c r="M35" s="357"/>
      <c r="N35" s="358"/>
      <c r="O35" s="358"/>
      <c r="P35" s="358"/>
      <c r="Q35" s="340"/>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c r="IR35" s="139"/>
      <c r="IS35" s="139"/>
      <c r="IT35" s="139"/>
      <c r="IU35" s="139"/>
    </row>
    <row r="36" spans="1:17" s="371" customFormat="1" ht="15.75" customHeight="1" thickBot="1">
      <c r="A36" s="373"/>
      <c r="B36" s="373">
        <f aca="true" t="shared" si="3" ref="B36:P36">B13+B25+B34</f>
        <v>0</v>
      </c>
      <c r="C36" s="373">
        <f t="shared" si="3"/>
        <v>2858225</v>
      </c>
      <c r="D36" s="373">
        <f t="shared" si="3"/>
        <v>1300000</v>
      </c>
      <c r="E36" s="373">
        <f t="shared" si="3"/>
        <v>175000</v>
      </c>
      <c r="F36" s="373">
        <f t="shared" si="3"/>
        <v>40000</v>
      </c>
      <c r="G36" s="373">
        <f t="shared" si="3"/>
        <v>65000</v>
      </c>
      <c r="H36" s="373">
        <f t="shared" si="3"/>
        <v>0</v>
      </c>
      <c r="I36" s="373">
        <f t="shared" si="3"/>
        <v>50000</v>
      </c>
      <c r="J36" s="373">
        <f t="shared" si="3"/>
        <v>60000</v>
      </c>
      <c r="K36" s="373">
        <f t="shared" si="3"/>
        <v>0</v>
      </c>
      <c r="L36" s="373">
        <f t="shared" si="3"/>
        <v>80000</v>
      </c>
      <c r="M36" s="373">
        <f t="shared" si="3"/>
        <v>0</v>
      </c>
      <c r="N36" s="373">
        <f t="shared" si="3"/>
        <v>0</v>
      </c>
      <c r="O36" s="373">
        <f t="shared" si="3"/>
        <v>50000</v>
      </c>
      <c r="P36" s="396">
        <f t="shared" si="3"/>
        <v>300000</v>
      </c>
      <c r="Q36" s="397">
        <f>SUM(B36:P36)</f>
        <v>4978225</v>
      </c>
    </row>
    <row r="37" spans="2:17" ht="15.75" customHeight="1">
      <c r="B37" s="362">
        <f>B36/Q36</f>
        <v>0</v>
      </c>
      <c r="C37" s="362">
        <f>C36/Q36</f>
        <v>0.5741454032310713</v>
      </c>
      <c r="D37" s="362">
        <f>D36/Q36</f>
        <v>0.2611372527356638</v>
      </c>
      <c r="E37" s="362">
        <f>E36/Q36</f>
        <v>0.03515309171441628</v>
      </c>
      <c r="F37" s="362">
        <f>F36/Q36</f>
        <v>0.008034992391866579</v>
      </c>
      <c r="G37" s="362">
        <f>G36/Q36</f>
        <v>0.013056862636783191</v>
      </c>
      <c r="H37" s="362">
        <f>H36/Q36</f>
        <v>0</v>
      </c>
      <c r="I37" s="362">
        <f>I36/Q36</f>
        <v>0.010043740489833223</v>
      </c>
      <c r="J37" s="362">
        <f>J36/Q36</f>
        <v>0.012052488587799868</v>
      </c>
      <c r="K37" s="362">
        <f>K36/Q36</f>
        <v>0</v>
      </c>
      <c r="L37" s="362">
        <f>L36/Q36</f>
        <v>0.016069984783733157</v>
      </c>
      <c r="M37" s="362">
        <f>M36/Q36</f>
        <v>0</v>
      </c>
      <c r="N37" s="362">
        <f>N36/Q36</f>
        <v>0</v>
      </c>
      <c r="O37" s="362">
        <f>O36/Q36</f>
        <v>0.010043740489833223</v>
      </c>
      <c r="P37" s="362">
        <f>P36/Q36</f>
        <v>0.06026244293899934</v>
      </c>
      <c r="Q37" s="364">
        <f>B37+C37+D37+E37+F37+G37+H37+I37+J37+K37+L37+M37+N37+O37+P37</f>
        <v>0.9999999999999999</v>
      </c>
    </row>
    <row r="38" spans="4:15" ht="15.75" customHeight="1">
      <c r="D38" s="157"/>
      <c r="E38" s="155"/>
      <c r="F38" s="155"/>
      <c r="G38" s="155"/>
      <c r="H38" s="155"/>
      <c r="I38" s="155"/>
      <c r="J38" s="149"/>
      <c r="K38" s="149"/>
      <c r="L38" s="147"/>
      <c r="M38" s="147"/>
      <c r="N38" s="150"/>
      <c r="O38" s="145"/>
    </row>
    <row r="39" spans="2:17" s="159" customFormat="1" ht="15.75" customHeight="1">
      <c r="B39" s="160"/>
      <c r="C39" s="333"/>
      <c r="D39" s="333"/>
      <c r="E39" s="333"/>
      <c r="F39" s="333"/>
      <c r="G39" s="333"/>
      <c r="H39" s="333"/>
      <c r="I39" s="333"/>
      <c r="J39" s="160"/>
      <c r="K39" s="160"/>
      <c r="L39" s="160"/>
      <c r="M39" s="160"/>
      <c r="N39" s="399" t="s">
        <v>138</v>
      </c>
      <c r="O39" s="161"/>
      <c r="Q39" s="392">
        <v>13.67</v>
      </c>
    </row>
    <row r="40" spans="4:17" ht="15.75" customHeight="1">
      <c r="D40" s="157"/>
      <c r="E40" s="334"/>
      <c r="F40" s="155"/>
      <c r="H40" s="152"/>
      <c r="I40" s="152"/>
      <c r="J40" s="152"/>
      <c r="K40" s="152"/>
      <c r="L40" s="147"/>
      <c r="M40" s="147"/>
      <c r="N40" s="147"/>
      <c r="O40" s="151"/>
      <c r="P40" s="400" t="s">
        <v>139</v>
      </c>
      <c r="Q40" s="372">
        <f>Q36/Q39</f>
        <v>364171.54352596926</v>
      </c>
    </row>
    <row r="41" spans="2:16" ht="15.75" customHeight="1">
      <c r="B41" s="137"/>
      <c r="D41" s="157"/>
      <c r="E41" s="155"/>
      <c r="F41" s="155"/>
      <c r="G41" s="155"/>
      <c r="H41" s="152"/>
      <c r="I41" s="152"/>
      <c r="J41" s="152"/>
      <c r="K41" s="152"/>
      <c r="L41" s="147"/>
      <c r="M41" s="147"/>
      <c r="N41" s="147"/>
      <c r="O41" s="151"/>
      <c r="P41" s="154"/>
    </row>
    <row r="42" spans="4:16" ht="15.75" customHeight="1">
      <c r="D42" s="157"/>
      <c r="E42" s="155"/>
      <c r="F42" s="155"/>
      <c r="G42" s="155"/>
      <c r="H42" s="155"/>
      <c r="I42" s="155"/>
      <c r="J42" s="155"/>
      <c r="K42" s="155"/>
      <c r="L42" s="147"/>
      <c r="M42" s="147"/>
      <c r="N42" s="147"/>
      <c r="O42" s="156"/>
      <c r="P42" s="153"/>
    </row>
    <row r="43" spans="4:15" ht="15.75" customHeight="1">
      <c r="D43" s="157"/>
      <c r="E43" s="155"/>
      <c r="F43" s="155"/>
      <c r="G43" s="155"/>
      <c r="H43" s="155"/>
      <c r="I43" s="155"/>
      <c r="J43" s="155"/>
      <c r="K43" s="155"/>
      <c r="L43" s="147"/>
      <c r="M43" s="147"/>
      <c r="N43" s="147"/>
      <c r="O43" s="145"/>
    </row>
    <row r="44" spans="4:15" ht="15.75" customHeight="1">
      <c r="D44" s="157"/>
      <c r="E44" s="157"/>
      <c r="F44" s="157"/>
      <c r="G44" s="157"/>
      <c r="H44" s="157"/>
      <c r="I44" s="157"/>
      <c r="J44" s="148"/>
      <c r="K44" s="148"/>
      <c r="L44" s="145"/>
      <c r="M44" s="145"/>
      <c r="N44" s="145"/>
      <c r="O44" s="145"/>
    </row>
    <row r="45" spans="4:15" ht="15.75" customHeight="1">
      <c r="D45" s="157"/>
      <c r="E45" s="157"/>
      <c r="F45" s="157"/>
      <c r="G45" s="157"/>
      <c r="H45" s="157"/>
      <c r="I45" s="157"/>
      <c r="J45" s="157"/>
      <c r="K45" s="157"/>
      <c r="L45" s="145"/>
      <c r="M45" s="145"/>
      <c r="N45" s="145"/>
      <c r="O45" s="145"/>
    </row>
    <row r="46" spans="4:15" ht="15.75" customHeight="1">
      <c r="D46" s="157"/>
      <c r="E46" s="157"/>
      <c r="F46" s="157"/>
      <c r="G46" s="157"/>
      <c r="H46" s="157"/>
      <c r="I46" s="157"/>
      <c r="J46" s="148"/>
      <c r="K46" s="148"/>
      <c r="L46" s="145"/>
      <c r="M46" s="145"/>
      <c r="N46" s="145"/>
      <c r="O46" s="145"/>
    </row>
    <row r="47" spans="4:15" ht="15.75" customHeight="1">
      <c r="D47" s="157"/>
      <c r="E47" s="157"/>
      <c r="F47" s="157"/>
      <c r="G47" s="157"/>
      <c r="H47" s="157"/>
      <c r="I47" s="157"/>
      <c r="J47" s="158"/>
      <c r="K47" s="158"/>
      <c r="L47" s="145"/>
      <c r="M47" s="145"/>
      <c r="N47" s="145"/>
      <c r="O47" s="145"/>
    </row>
    <row r="48" spans="4:11" ht="15.75" customHeight="1">
      <c r="D48" s="157"/>
      <c r="E48" s="157"/>
      <c r="F48" s="157"/>
      <c r="G48" s="157"/>
      <c r="H48" s="157"/>
      <c r="I48" s="157"/>
      <c r="J48" s="148"/>
      <c r="K48" s="148"/>
    </row>
    <row r="72" spans="9:10" ht="15.75" customHeight="1">
      <c r="I72" s="146" t="s">
        <v>127</v>
      </c>
      <c r="J72" s="138">
        <v>249806.34999999998</v>
      </c>
    </row>
  </sheetData>
  <sheetProtection/>
  <printOptions/>
  <pageMargins left="0.25" right="0.25" top="0.75" bottom="0.75" header="0.3" footer="0.3"/>
  <pageSetup horizontalDpi="600" verticalDpi="600" orientation="landscape" scale="58" r:id="rId1"/>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B1:G116"/>
  <sheetViews>
    <sheetView zoomScalePageLayoutView="0" workbookViewId="0" topLeftCell="A1">
      <selection activeCell="C10" sqref="C10"/>
    </sheetView>
  </sheetViews>
  <sheetFormatPr defaultColWidth="9.140625" defaultRowHeight="15"/>
  <cols>
    <col min="1" max="1" width="19.140625" style="0" customWidth="1"/>
    <col min="2" max="2" width="30.57421875" style="0" customWidth="1"/>
    <col min="3" max="3" width="18.140625" style="478" customWidth="1"/>
    <col min="4" max="4" width="18.57421875" style="478" customWidth="1"/>
    <col min="5" max="5" width="15.421875" style="0" customWidth="1"/>
    <col min="6" max="6" width="13.57421875" style="478" customWidth="1"/>
    <col min="7" max="7" width="14.57421875" style="0" customWidth="1"/>
  </cols>
  <sheetData>
    <row r="1" spans="2:6" s="484" customFormat="1" ht="15">
      <c r="B1" s="486"/>
      <c r="C1" s="487" t="s">
        <v>236</v>
      </c>
      <c r="D1" s="487" t="s">
        <v>237</v>
      </c>
      <c r="F1" s="485"/>
    </row>
    <row r="2" spans="2:4" ht="14.25">
      <c r="B2" s="488"/>
      <c r="C2" s="489"/>
      <c r="D2" s="489"/>
    </row>
    <row r="3" spans="2:5" ht="14.25">
      <c r="B3" s="488" t="s">
        <v>238</v>
      </c>
      <c r="C3" s="489">
        <v>385841.6</v>
      </c>
      <c r="D3" s="489"/>
      <c r="E3" s="523"/>
    </row>
    <row r="4" spans="2:5" ht="14.25">
      <c r="B4" s="488" t="s">
        <v>238</v>
      </c>
      <c r="C4" s="489">
        <v>2377954.5</v>
      </c>
      <c r="D4" s="489"/>
      <c r="E4" s="523"/>
    </row>
    <row r="5" spans="2:5" ht="14.25">
      <c r="B5" s="488" t="s">
        <v>238</v>
      </c>
      <c r="C5" s="489">
        <v>2622045.55</v>
      </c>
      <c r="D5" s="489"/>
      <c r="E5" s="523"/>
    </row>
    <row r="6" spans="2:6" s="407" customFormat="1" ht="14.25">
      <c r="B6" s="488" t="s">
        <v>243</v>
      </c>
      <c r="C6" s="489">
        <v>375</v>
      </c>
      <c r="D6" s="489"/>
      <c r="E6" s="523"/>
      <c r="F6" s="478"/>
    </row>
    <row r="7" spans="2:5" ht="14.25">
      <c r="B7" s="488" t="s">
        <v>239</v>
      </c>
      <c r="C7" s="489">
        <v>5801.8</v>
      </c>
      <c r="D7" s="489"/>
      <c r="E7" s="523"/>
    </row>
    <row r="8" spans="2:6" s="407" customFormat="1" ht="14.25">
      <c r="B8" s="488" t="s">
        <v>334</v>
      </c>
      <c r="C8" s="489">
        <v>2139</v>
      </c>
      <c r="D8" s="489"/>
      <c r="E8" s="523"/>
      <c r="F8" s="478"/>
    </row>
    <row r="9" spans="2:4" ht="14.25">
      <c r="B9" s="488" t="s">
        <v>244</v>
      </c>
      <c r="C9" s="489">
        <v>1600</v>
      </c>
      <c r="D9" s="489"/>
    </row>
    <row r="10" spans="2:4" ht="14.25">
      <c r="B10" s="488" t="s">
        <v>241</v>
      </c>
      <c r="C10" s="489">
        <v>213</v>
      </c>
      <c r="D10" s="489"/>
    </row>
    <row r="11" spans="2:6" s="407" customFormat="1" ht="14.25">
      <c r="B11" s="488" t="s">
        <v>240</v>
      </c>
      <c r="C11" s="489">
        <v>2068.05</v>
      </c>
      <c r="D11" s="489"/>
      <c r="F11" s="478"/>
    </row>
    <row r="12" spans="2:4" ht="14.25">
      <c r="B12" s="488" t="s">
        <v>242</v>
      </c>
      <c r="C12" s="489">
        <v>9174</v>
      </c>
      <c r="D12" s="489"/>
    </row>
    <row r="13" spans="2:6" s="407" customFormat="1" ht="14.25">
      <c r="B13" s="488" t="s">
        <v>245</v>
      </c>
      <c r="C13" s="489">
        <v>2313.55</v>
      </c>
      <c r="D13" s="489"/>
      <c r="F13" s="478"/>
    </row>
    <row r="14" spans="2:6" s="407" customFormat="1" ht="14.25">
      <c r="B14" s="488" t="s">
        <v>246</v>
      </c>
      <c r="C14" s="489">
        <v>6930.8</v>
      </c>
      <c r="D14" s="489"/>
      <c r="F14" s="478"/>
    </row>
    <row r="15" spans="2:6" s="407" customFormat="1" ht="14.25">
      <c r="B15" s="488" t="s">
        <v>272</v>
      </c>
      <c r="C15" s="489">
        <v>409286.92</v>
      </c>
      <c r="D15" s="489"/>
      <c r="F15" s="478"/>
    </row>
    <row r="16" spans="3:7" ht="14.25">
      <c r="C16" s="479">
        <f>SUM(C3:C15)</f>
        <v>5825743.77</v>
      </c>
      <c r="D16" s="479">
        <f>SUM(D18:D124)</f>
        <v>5286726.200000001</v>
      </c>
      <c r="E16" s="481">
        <f>C16-D16</f>
        <v>539017.5699999984</v>
      </c>
      <c r="F16" s="478">
        <v>539017.57</v>
      </c>
      <c r="G16" s="480">
        <f>E16-F16</f>
        <v>-1.5133991837501526E-09</v>
      </c>
    </row>
    <row r="18" spans="3:6" s="407" customFormat="1" ht="14.25">
      <c r="C18" s="478"/>
      <c r="D18" s="524">
        <v>16924</v>
      </c>
      <c r="F18" s="478"/>
    </row>
    <row r="19" spans="2:6" s="407" customFormat="1" ht="14.25">
      <c r="B19" s="407" t="s">
        <v>312</v>
      </c>
      <c r="C19" s="478"/>
      <c r="D19" s="524">
        <v>2139</v>
      </c>
      <c r="F19" s="478">
        <v>3900</v>
      </c>
    </row>
    <row r="20" spans="2:6" s="407" customFormat="1" ht="14.25">
      <c r="B20" s="407" t="s">
        <v>321</v>
      </c>
      <c r="C20" s="478"/>
      <c r="D20" s="524">
        <v>34224</v>
      </c>
      <c r="F20" s="478">
        <v>16.75</v>
      </c>
    </row>
    <row r="21" spans="2:6" s="407" customFormat="1" ht="14.25">
      <c r="B21" s="407" t="s">
        <v>297</v>
      </c>
      <c r="C21" s="478"/>
      <c r="D21" s="483">
        <f>F43</f>
        <v>25325.510000000002</v>
      </c>
      <c r="F21" s="478">
        <v>10.8</v>
      </c>
    </row>
    <row r="22" spans="2:7" s="407" customFormat="1" ht="14.25">
      <c r="B22" s="407" t="s">
        <v>300</v>
      </c>
      <c r="C22" s="478"/>
      <c r="D22" s="524">
        <v>402649.31</v>
      </c>
      <c r="F22" s="482">
        <v>2321.34</v>
      </c>
      <c r="G22" s="407">
        <v>6248.89</v>
      </c>
    </row>
    <row r="23" spans="2:6" s="407" customFormat="1" ht="14.25">
      <c r="B23" s="407" t="s">
        <v>291</v>
      </c>
      <c r="C23" s="478"/>
      <c r="D23" s="524">
        <v>3640</v>
      </c>
      <c r="F23" s="482">
        <v>5100.01</v>
      </c>
    </row>
    <row r="24" spans="2:6" s="407" customFormat="1" ht="14.25">
      <c r="B24" s="407" t="s">
        <v>322</v>
      </c>
      <c r="C24" s="478"/>
      <c r="D24" s="524">
        <v>2044</v>
      </c>
      <c r="F24" s="482">
        <v>284.87</v>
      </c>
    </row>
    <row r="25" spans="2:6" s="407" customFormat="1" ht="14.25">
      <c r="B25" s="407" t="s">
        <v>267</v>
      </c>
      <c r="C25" s="478"/>
      <c r="D25" s="524">
        <v>3545</v>
      </c>
      <c r="F25" s="482">
        <v>66</v>
      </c>
    </row>
    <row r="26" spans="2:6" s="407" customFormat="1" ht="14.25">
      <c r="B26" s="407" t="s">
        <v>289</v>
      </c>
      <c r="C26" s="478"/>
      <c r="D26" s="524">
        <v>2852</v>
      </c>
      <c r="F26" s="482">
        <v>66</v>
      </c>
    </row>
    <row r="27" spans="2:6" s="407" customFormat="1" ht="14.25">
      <c r="B27" s="407" t="s">
        <v>288</v>
      </c>
      <c r="C27" s="478"/>
      <c r="D27" s="524">
        <v>2852</v>
      </c>
      <c r="F27" s="482">
        <v>9.2</v>
      </c>
    </row>
    <row r="28" spans="2:6" s="407" customFormat="1" ht="14.25">
      <c r="B28" s="407" t="s">
        <v>290</v>
      </c>
      <c r="C28" s="478"/>
      <c r="D28" s="524">
        <v>2852</v>
      </c>
      <c r="F28" s="482">
        <v>157.85</v>
      </c>
    </row>
    <row r="29" spans="2:7" s="407" customFormat="1" ht="14.25">
      <c r="B29" s="407" t="s">
        <v>292</v>
      </c>
      <c r="C29" s="478"/>
      <c r="D29" s="524">
        <v>3545</v>
      </c>
      <c r="F29" s="482">
        <v>453.26</v>
      </c>
      <c r="G29" s="407">
        <v>6137.19</v>
      </c>
    </row>
    <row r="30" spans="2:6" s="407" customFormat="1" ht="14.25">
      <c r="B30" s="407" t="s">
        <v>296</v>
      </c>
      <c r="C30" s="478"/>
      <c r="D30" s="524">
        <v>3028</v>
      </c>
      <c r="F30" s="482">
        <v>8100</v>
      </c>
    </row>
    <row r="31" spans="2:6" s="407" customFormat="1" ht="14.25">
      <c r="B31" s="407" t="s">
        <v>295</v>
      </c>
      <c r="C31" s="478"/>
      <c r="D31" s="524">
        <v>9073.7</v>
      </c>
      <c r="F31" s="482">
        <v>284.87</v>
      </c>
    </row>
    <row r="32" spans="2:6" s="407" customFormat="1" ht="14.25">
      <c r="B32" s="407" t="s">
        <v>283</v>
      </c>
      <c r="C32" s="478"/>
      <c r="D32" s="524">
        <v>3545</v>
      </c>
      <c r="F32" s="482">
        <v>60.77</v>
      </c>
    </row>
    <row r="33" spans="2:6" s="407" customFormat="1" ht="14.25">
      <c r="B33" s="407" t="s">
        <v>132</v>
      </c>
      <c r="C33" s="478"/>
      <c r="D33" s="524">
        <v>10343.73</v>
      </c>
      <c r="F33" s="482">
        <v>67.15</v>
      </c>
    </row>
    <row r="34" spans="2:6" s="407" customFormat="1" ht="14.25">
      <c r="B34" s="407" t="s">
        <v>134</v>
      </c>
      <c r="C34" s="478"/>
      <c r="D34" s="524">
        <v>5279.2</v>
      </c>
      <c r="F34" s="482">
        <v>3900</v>
      </c>
    </row>
    <row r="35" spans="2:6" ht="14.25">
      <c r="B35" t="s">
        <v>247</v>
      </c>
      <c r="D35" s="524">
        <v>2749.98</v>
      </c>
      <c r="F35" s="482">
        <v>66</v>
      </c>
    </row>
    <row r="36" spans="2:6" s="407" customFormat="1" ht="14.25">
      <c r="B36" s="407" t="s">
        <v>305</v>
      </c>
      <c r="C36" s="478"/>
      <c r="D36" s="524">
        <v>564.95</v>
      </c>
      <c r="F36" s="482">
        <v>7.8</v>
      </c>
    </row>
    <row r="37" spans="2:7" s="407" customFormat="1" ht="14.25">
      <c r="B37" s="407" t="s">
        <v>323</v>
      </c>
      <c r="C37" s="478"/>
      <c r="D37" s="524">
        <v>4248.68</v>
      </c>
      <c r="F37" s="482">
        <v>440.3</v>
      </c>
      <c r="G37" s="407">
        <v>12939.43</v>
      </c>
    </row>
    <row r="38" spans="2:6" s="407" customFormat="1" ht="14.25">
      <c r="B38" s="407" t="s">
        <v>277</v>
      </c>
      <c r="C38" s="478"/>
      <c r="D38" s="524">
        <v>6312.38</v>
      </c>
      <c r="F38" s="482">
        <v>12.54</v>
      </c>
    </row>
    <row r="39" spans="2:6" s="407" customFormat="1" ht="14.25">
      <c r="B39" s="407" t="s">
        <v>324</v>
      </c>
      <c r="C39" s="478"/>
      <c r="D39" s="524">
        <v>1600</v>
      </c>
      <c r="F39" s="482"/>
    </row>
    <row r="40" spans="2:6" s="407" customFormat="1" ht="14.25">
      <c r="B40" s="407" t="s">
        <v>325</v>
      </c>
      <c r="C40" s="478"/>
      <c r="D40" s="524">
        <v>985.8</v>
      </c>
      <c r="F40" s="482"/>
    </row>
    <row r="41" spans="2:6" s="407" customFormat="1" ht="14.25">
      <c r="B41" s="407" t="s">
        <v>326</v>
      </c>
      <c r="C41" s="478"/>
      <c r="D41" s="524">
        <v>741</v>
      </c>
      <c r="F41" s="482"/>
    </row>
    <row r="42" spans="2:6" s="407" customFormat="1" ht="14.25">
      <c r="B42" s="407" t="s">
        <v>327</v>
      </c>
      <c r="C42" s="478"/>
      <c r="D42" s="524">
        <v>18400</v>
      </c>
      <c r="F42" s="482"/>
    </row>
    <row r="43" spans="2:6" s="407" customFormat="1" ht="14.25">
      <c r="B43" s="407" t="s">
        <v>311</v>
      </c>
      <c r="C43" s="478"/>
      <c r="D43" s="524">
        <v>52585</v>
      </c>
      <c r="F43" s="478">
        <f>SUM(F18:F42)</f>
        <v>25325.510000000002</v>
      </c>
    </row>
    <row r="44" spans="2:6" s="407" customFormat="1" ht="14.25">
      <c r="B44" s="407" t="s">
        <v>268</v>
      </c>
      <c r="C44" s="478"/>
      <c r="D44" s="524">
        <v>224621.61</v>
      </c>
      <c r="F44" s="478"/>
    </row>
    <row r="45" spans="2:6" s="407" customFormat="1" ht="14.25">
      <c r="B45" s="407" t="s">
        <v>294</v>
      </c>
      <c r="C45" s="478"/>
      <c r="D45" s="524">
        <v>26390.14</v>
      </c>
      <c r="F45" s="478"/>
    </row>
    <row r="46" spans="2:6" s="407" customFormat="1" ht="14.25">
      <c r="B46" s="407" t="s">
        <v>328</v>
      </c>
      <c r="C46" s="478"/>
      <c r="D46" s="524">
        <v>800</v>
      </c>
      <c r="F46" s="478"/>
    </row>
    <row r="47" spans="2:6" s="407" customFormat="1" ht="14.25">
      <c r="B47" s="407" t="s">
        <v>329</v>
      </c>
      <c r="C47" s="478"/>
      <c r="D47" s="524">
        <v>800</v>
      </c>
      <c r="F47" s="478"/>
    </row>
    <row r="48" spans="2:6" s="407" customFormat="1" ht="14.25">
      <c r="B48" s="407" t="s">
        <v>190</v>
      </c>
      <c r="C48" s="478"/>
      <c r="D48" s="524">
        <v>162932</v>
      </c>
      <c r="F48" s="478"/>
    </row>
    <row r="49" spans="2:6" s="407" customFormat="1" ht="14.25">
      <c r="B49" s="407" t="s">
        <v>189</v>
      </c>
      <c r="C49" s="478"/>
      <c r="D49" s="524">
        <v>6700</v>
      </c>
      <c r="F49" s="478"/>
    </row>
    <row r="50" spans="2:6" s="407" customFormat="1" ht="14.25">
      <c r="B50" s="407" t="s">
        <v>298</v>
      </c>
      <c r="C50" s="478"/>
      <c r="D50" s="524">
        <v>402649.31</v>
      </c>
      <c r="F50" s="478"/>
    </row>
    <row r="51" spans="2:6" s="407" customFormat="1" ht="14.25">
      <c r="B51" s="407" t="s">
        <v>304</v>
      </c>
      <c r="C51" s="478"/>
      <c r="D51" s="524">
        <v>22323.6</v>
      </c>
      <c r="F51" s="478"/>
    </row>
    <row r="52" spans="2:6" s="407" customFormat="1" ht="14.25">
      <c r="B52" s="407" t="s">
        <v>292</v>
      </c>
      <c r="C52" s="478"/>
      <c r="D52" s="524">
        <v>3545</v>
      </c>
      <c r="F52" s="478"/>
    </row>
    <row r="53" spans="2:6" s="407" customFormat="1" ht="14.25">
      <c r="B53" s="407" t="s">
        <v>293</v>
      </c>
      <c r="C53" s="478"/>
      <c r="D53" s="524">
        <v>3545</v>
      </c>
      <c r="F53" s="478"/>
    </row>
    <row r="54" spans="2:6" s="407" customFormat="1" ht="14.25">
      <c r="B54" s="407" t="s">
        <v>267</v>
      </c>
      <c r="C54" s="478"/>
      <c r="D54" s="524">
        <v>1300</v>
      </c>
      <c r="F54" s="478"/>
    </row>
    <row r="55" spans="2:6" s="407" customFormat="1" ht="14.25">
      <c r="B55" s="407" t="s">
        <v>132</v>
      </c>
      <c r="C55" s="478"/>
      <c r="D55" s="524">
        <v>10314.88</v>
      </c>
      <c r="F55" s="478"/>
    </row>
    <row r="56" spans="2:6" s="407" customFormat="1" ht="14.25">
      <c r="B56" s="407" t="s">
        <v>281</v>
      </c>
      <c r="C56" s="478"/>
      <c r="D56" s="524">
        <v>3545</v>
      </c>
      <c r="F56" s="478"/>
    </row>
    <row r="57" spans="2:6" s="407" customFormat="1" ht="14.25">
      <c r="B57" s="407" t="s">
        <v>287</v>
      </c>
      <c r="C57" s="478"/>
      <c r="D57" s="524">
        <v>409286.92</v>
      </c>
      <c r="F57" s="478"/>
    </row>
    <row r="58" spans="2:6" s="407" customFormat="1" ht="14.25">
      <c r="B58" s="407" t="s">
        <v>286</v>
      </c>
      <c r="C58" s="478"/>
      <c r="D58" s="524">
        <v>9800.02</v>
      </c>
      <c r="F58" s="478"/>
    </row>
    <row r="59" spans="2:6" s="407" customFormat="1" ht="14.25">
      <c r="B59" s="407" t="s">
        <v>285</v>
      </c>
      <c r="C59" s="478"/>
      <c r="D59" s="524">
        <v>3545</v>
      </c>
      <c r="F59" s="478"/>
    </row>
    <row r="60" spans="2:6" s="407" customFormat="1" ht="14.25">
      <c r="B60" s="407" t="s">
        <v>284</v>
      </c>
      <c r="C60" s="478"/>
      <c r="D60" s="524">
        <v>337643.99</v>
      </c>
      <c r="F60" s="478"/>
    </row>
    <row r="61" spans="2:4" ht="14.25">
      <c r="B61" t="s">
        <v>283</v>
      </c>
      <c r="D61" s="524">
        <v>1300</v>
      </c>
    </row>
    <row r="62" spans="2:4" ht="14.25">
      <c r="B62" t="s">
        <v>282</v>
      </c>
      <c r="D62" s="524">
        <v>283349.77</v>
      </c>
    </row>
    <row r="63" spans="2:4" ht="14.25">
      <c r="B63" t="s">
        <v>265</v>
      </c>
      <c r="D63" s="524">
        <v>1300</v>
      </c>
    </row>
    <row r="64" spans="2:6" s="407" customFormat="1" ht="14.25">
      <c r="B64" s="407" t="s">
        <v>134</v>
      </c>
      <c r="C64" s="478"/>
      <c r="D64" s="524">
        <v>6154.74</v>
      </c>
      <c r="F64" s="478"/>
    </row>
    <row r="65" spans="2:6" s="407" customFormat="1" ht="14.25">
      <c r="B65" s="407" t="s">
        <v>281</v>
      </c>
      <c r="C65" s="478"/>
      <c r="D65" s="524">
        <v>9174</v>
      </c>
      <c r="F65" s="478"/>
    </row>
    <row r="66" spans="2:6" s="407" customFormat="1" ht="14.25">
      <c r="B66" s="407" t="s">
        <v>205</v>
      </c>
      <c r="C66" s="478"/>
      <c r="D66" s="524">
        <v>37363.5</v>
      </c>
      <c r="F66" s="478"/>
    </row>
    <row r="67" spans="2:6" s="407" customFormat="1" ht="14.25">
      <c r="B67" s="407" t="s">
        <v>203</v>
      </c>
      <c r="C67" s="478"/>
      <c r="D67" s="524">
        <v>25194.85</v>
      </c>
      <c r="F67" s="478"/>
    </row>
    <row r="68" spans="2:6" s="407" customFormat="1" ht="14.25">
      <c r="B68" s="407" t="s">
        <v>280</v>
      </c>
      <c r="C68" s="478"/>
      <c r="D68" s="524">
        <v>3545</v>
      </c>
      <c r="F68" s="478"/>
    </row>
    <row r="69" spans="2:6" s="407" customFormat="1" ht="14.25">
      <c r="B69" s="407" t="s">
        <v>279</v>
      </c>
      <c r="C69" s="478"/>
      <c r="D69" s="524">
        <v>3545</v>
      </c>
      <c r="F69" s="478"/>
    </row>
    <row r="70" spans="2:6" s="407" customFormat="1" ht="14.25">
      <c r="B70" s="407" t="s">
        <v>278</v>
      </c>
      <c r="C70" s="478"/>
      <c r="D70" s="524">
        <v>3900</v>
      </c>
      <c r="F70" s="478"/>
    </row>
    <row r="71" spans="2:6" s="407" customFormat="1" ht="14.25">
      <c r="B71" s="407" t="s">
        <v>271</v>
      </c>
      <c r="C71" s="478"/>
      <c r="D71" s="524">
        <v>2749.98</v>
      </c>
      <c r="F71" s="478"/>
    </row>
    <row r="72" spans="2:6" s="407" customFormat="1" ht="14.25">
      <c r="B72" s="407" t="s">
        <v>275</v>
      </c>
      <c r="C72" s="478"/>
      <c r="D72" s="524">
        <v>3545</v>
      </c>
      <c r="F72" s="478"/>
    </row>
    <row r="73" spans="2:6" s="407" customFormat="1" ht="14.25">
      <c r="B73" s="407" t="s">
        <v>265</v>
      </c>
      <c r="C73" s="478"/>
      <c r="D73" s="524">
        <v>800</v>
      </c>
      <c r="F73" s="478"/>
    </row>
    <row r="74" spans="2:4" ht="14.25">
      <c r="B74" t="s">
        <v>277</v>
      </c>
      <c r="D74" s="524">
        <v>4208.25</v>
      </c>
    </row>
    <row r="75" spans="2:4" ht="14.25">
      <c r="B75" t="s">
        <v>276</v>
      </c>
      <c r="D75" s="524">
        <v>3545</v>
      </c>
    </row>
    <row r="76" spans="2:4" ht="14.25">
      <c r="B76" t="s">
        <v>275</v>
      </c>
      <c r="D76" s="524">
        <v>11676</v>
      </c>
    </row>
    <row r="77" spans="2:4" ht="14.25">
      <c r="B77" t="s">
        <v>330</v>
      </c>
      <c r="D77" s="524">
        <v>45306</v>
      </c>
    </row>
    <row r="78" spans="2:4" ht="14.25">
      <c r="B78" t="s">
        <v>331</v>
      </c>
      <c r="D78" s="524">
        <v>5000</v>
      </c>
    </row>
    <row r="79" spans="2:4" ht="14.25">
      <c r="B79" t="s">
        <v>332</v>
      </c>
      <c r="D79" s="524">
        <v>3008</v>
      </c>
    </row>
    <row r="80" spans="2:4" ht="14.25">
      <c r="B80" t="s">
        <v>273</v>
      </c>
      <c r="D80" s="482">
        <v>20000</v>
      </c>
    </row>
    <row r="81" spans="2:4" ht="14.25">
      <c r="B81" t="s">
        <v>333</v>
      </c>
      <c r="D81" s="524">
        <v>7352</v>
      </c>
    </row>
    <row r="82" spans="2:4" ht="14.25">
      <c r="B82" t="s">
        <v>274</v>
      </c>
      <c r="D82" s="524">
        <v>341073.98</v>
      </c>
    </row>
    <row r="83" spans="2:4" ht="14.25">
      <c r="B83" t="s">
        <v>214</v>
      </c>
      <c r="D83" s="524">
        <v>454997</v>
      </c>
    </row>
    <row r="84" spans="2:4" ht="14.25">
      <c r="B84" t="s">
        <v>218</v>
      </c>
      <c r="D84" s="524">
        <v>32131</v>
      </c>
    </row>
    <row r="85" spans="2:4" ht="14.25">
      <c r="B85" t="s">
        <v>257</v>
      </c>
      <c r="D85" s="524">
        <v>3640</v>
      </c>
    </row>
    <row r="86" spans="2:4" ht="14.25">
      <c r="B86" t="s">
        <v>258</v>
      </c>
      <c r="D86" s="524">
        <v>3120</v>
      </c>
    </row>
    <row r="87" spans="2:4" ht="14.25">
      <c r="B87" t="s">
        <v>259</v>
      </c>
      <c r="D87" s="524">
        <v>10268</v>
      </c>
    </row>
    <row r="88" spans="2:4" ht="14.25">
      <c r="B88" t="s">
        <v>260</v>
      </c>
      <c r="D88" s="524">
        <v>2435.45</v>
      </c>
    </row>
    <row r="89" spans="2:4" ht="14.25">
      <c r="B89" t="s">
        <v>261</v>
      </c>
      <c r="D89" s="524">
        <v>1610.47</v>
      </c>
    </row>
    <row r="90" spans="2:4" ht="14.25">
      <c r="B90" t="s">
        <v>262</v>
      </c>
      <c r="D90" s="524">
        <v>1132.75</v>
      </c>
    </row>
    <row r="91" spans="2:4" ht="14.25">
      <c r="B91" t="s">
        <v>263</v>
      </c>
      <c r="D91" s="524">
        <v>81360</v>
      </c>
    </row>
    <row r="92" spans="2:4" ht="14.25">
      <c r="B92" t="s">
        <v>264</v>
      </c>
      <c r="D92" s="524">
        <v>244950</v>
      </c>
    </row>
    <row r="93" spans="2:4" ht="14.25">
      <c r="B93" t="s">
        <v>265</v>
      </c>
      <c r="D93" s="524">
        <v>4222.23</v>
      </c>
    </row>
    <row r="94" spans="2:4" ht="14.25">
      <c r="B94" t="s">
        <v>266</v>
      </c>
      <c r="D94" s="524">
        <v>3339</v>
      </c>
    </row>
    <row r="95" spans="2:4" ht="14.25">
      <c r="B95" t="s">
        <v>267</v>
      </c>
      <c r="D95" s="524">
        <v>2885</v>
      </c>
    </row>
    <row r="96" spans="2:4" ht="14.25">
      <c r="B96" t="s">
        <v>268</v>
      </c>
      <c r="D96" s="524">
        <v>224621.61</v>
      </c>
    </row>
    <row r="97" spans="2:4" ht="14.25">
      <c r="B97" t="s">
        <v>301</v>
      </c>
      <c r="D97" s="524">
        <v>10329.3</v>
      </c>
    </row>
    <row r="98" spans="2:4" ht="14.25">
      <c r="B98" t="s">
        <v>269</v>
      </c>
      <c r="D98" s="524">
        <v>16660.07</v>
      </c>
    </row>
    <row r="99" spans="2:4" ht="14.25">
      <c r="B99" t="s">
        <v>270</v>
      </c>
      <c r="D99" s="524">
        <v>757.15</v>
      </c>
    </row>
    <row r="100" spans="2:4" ht="14.25">
      <c r="B100" t="s">
        <v>262</v>
      </c>
      <c r="D100" s="524">
        <v>5692.5</v>
      </c>
    </row>
    <row r="101" spans="2:4" ht="14.25">
      <c r="B101" t="s">
        <v>253</v>
      </c>
      <c r="D101" s="524">
        <v>45800</v>
      </c>
    </row>
    <row r="102" spans="2:4" ht="14.25">
      <c r="B102" t="s">
        <v>303</v>
      </c>
      <c r="D102" s="524">
        <v>2749.98</v>
      </c>
    </row>
    <row r="103" spans="2:4" ht="14.25">
      <c r="B103" t="s">
        <v>256</v>
      </c>
      <c r="D103" s="524">
        <v>90870</v>
      </c>
    </row>
    <row r="104" spans="2:4" ht="14.25">
      <c r="B104" t="s">
        <v>302</v>
      </c>
      <c r="D104" s="524">
        <v>8161.15</v>
      </c>
    </row>
    <row r="105" spans="2:4" ht="14.25">
      <c r="B105" t="s">
        <v>249</v>
      </c>
      <c r="D105" s="524">
        <v>21251.45</v>
      </c>
    </row>
    <row r="106" spans="2:4" ht="14.25">
      <c r="B106" t="s">
        <v>255</v>
      </c>
      <c r="D106" s="524">
        <v>3600</v>
      </c>
    </row>
    <row r="107" spans="2:4" ht="14.25">
      <c r="B107" t="s">
        <v>254</v>
      </c>
      <c r="D107" s="524">
        <v>146970</v>
      </c>
    </row>
    <row r="108" spans="2:4" ht="14.25">
      <c r="B108" t="s">
        <v>253</v>
      </c>
      <c r="D108" s="524">
        <v>2875</v>
      </c>
    </row>
    <row r="109" spans="2:4" ht="14.25">
      <c r="B109" t="s">
        <v>252</v>
      </c>
      <c r="D109" s="524">
        <v>1600</v>
      </c>
    </row>
    <row r="110" spans="2:4" ht="14.25">
      <c r="B110" t="s">
        <v>251</v>
      </c>
      <c r="D110" s="524">
        <v>13320</v>
      </c>
    </row>
    <row r="111" spans="2:4" ht="14.25">
      <c r="B111" t="s">
        <v>218</v>
      </c>
      <c r="D111" s="524">
        <v>32131</v>
      </c>
    </row>
    <row r="112" spans="2:4" ht="14.25">
      <c r="B112" t="s">
        <v>214</v>
      </c>
      <c r="D112" s="524">
        <v>272998.5</v>
      </c>
    </row>
    <row r="113" spans="2:4" ht="14.25">
      <c r="B113" t="s">
        <v>205</v>
      </c>
      <c r="D113" s="524">
        <v>37363.5</v>
      </c>
    </row>
    <row r="114" spans="2:4" ht="14.25">
      <c r="B114" t="s">
        <v>248</v>
      </c>
      <c r="D114" s="524">
        <v>405149.31</v>
      </c>
    </row>
    <row r="115" spans="2:4" ht="14.25">
      <c r="B115" t="s">
        <v>250</v>
      </c>
      <c r="D115" s="524">
        <v>20000</v>
      </c>
    </row>
    <row r="116" spans="2:4" ht="14.25">
      <c r="B116" t="s">
        <v>299</v>
      </c>
      <c r="D116" s="524">
        <v>2852</v>
      </c>
    </row>
  </sheetData>
  <sheetProtection/>
  <printOptions/>
  <pageMargins left="0.7" right="0.7" top="0.75" bottom="0.75" header="0.3" footer="0.3"/>
  <pageSetup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J132"/>
  <sheetViews>
    <sheetView zoomScalePageLayoutView="0" workbookViewId="0" topLeftCell="A97">
      <selection activeCell="I104" sqref="I104"/>
    </sheetView>
  </sheetViews>
  <sheetFormatPr defaultColWidth="9.140625" defaultRowHeight="15"/>
  <cols>
    <col min="1" max="1" width="10.00390625" style="191" customWidth="1"/>
    <col min="2" max="2" width="9.140625" style="191" customWidth="1"/>
    <col min="3" max="3" width="13.57421875" style="192" customWidth="1"/>
    <col min="4" max="4" width="12.28125" style="192" customWidth="1"/>
    <col min="5" max="5" width="13.421875" style="404" customWidth="1"/>
    <col min="6" max="6" width="42.7109375" style="200" customWidth="1"/>
    <col min="7" max="7" width="11.421875" style="402" customWidth="1"/>
    <col min="8" max="8" width="18.57421875" style="467" customWidth="1"/>
    <col min="9" max="9" width="9.140625" style="191" customWidth="1"/>
    <col min="10" max="10" width="10.8515625" style="192" bestFit="1" customWidth="1"/>
    <col min="11" max="12" width="9.140625" style="191" customWidth="1"/>
    <col min="13" max="13" width="11.8515625" style="191" customWidth="1"/>
    <col min="14" max="16384" width="9.140625" style="191" customWidth="1"/>
  </cols>
  <sheetData>
    <row r="1" spans="1:6" ht="18">
      <c r="A1" s="663">
        <v>42644</v>
      </c>
      <c r="B1" s="663"/>
      <c r="C1" s="663"/>
      <c r="D1" s="663"/>
      <c r="E1" s="663"/>
      <c r="F1" s="663"/>
    </row>
    <row r="3" spans="1:6" ht="13.5">
      <c r="A3" s="195" t="s">
        <v>125</v>
      </c>
      <c r="B3" s="195" t="s">
        <v>128</v>
      </c>
      <c r="C3" s="196" t="s">
        <v>126</v>
      </c>
      <c r="D3" s="196" t="s">
        <v>118</v>
      </c>
      <c r="E3" s="196" t="s">
        <v>127</v>
      </c>
      <c r="F3" s="463" t="s">
        <v>133</v>
      </c>
    </row>
    <row r="5" spans="1:7" ht="13.5">
      <c r="A5" s="499">
        <v>1</v>
      </c>
      <c r="B5" s="499">
        <v>71405</v>
      </c>
      <c r="C5" s="500">
        <v>352204.27</v>
      </c>
      <c r="D5" s="500"/>
      <c r="E5" s="500">
        <f>C5+D5</f>
        <v>352204.27</v>
      </c>
      <c r="F5" s="501" t="s">
        <v>129</v>
      </c>
      <c r="G5" s="502" t="s">
        <v>147</v>
      </c>
    </row>
    <row r="6" spans="1:7" ht="13.5">
      <c r="A6" s="499">
        <v>1</v>
      </c>
      <c r="B6" s="499">
        <v>72370</v>
      </c>
      <c r="C6" s="500">
        <v>2391.29</v>
      </c>
      <c r="D6" s="500">
        <v>358.69</v>
      </c>
      <c r="E6" s="500">
        <f>C6+D6</f>
        <v>2749.98</v>
      </c>
      <c r="F6" s="501" t="s">
        <v>131</v>
      </c>
      <c r="G6" s="503">
        <v>2016100016</v>
      </c>
    </row>
    <row r="7" spans="1:7" ht="13.5">
      <c r="A7" s="499">
        <v>1</v>
      </c>
      <c r="B7" s="499">
        <v>72425</v>
      </c>
      <c r="C7" s="500">
        <v>4590.61</v>
      </c>
      <c r="D7" s="500">
        <v>688.59</v>
      </c>
      <c r="E7" s="500">
        <f>C7+D7</f>
        <v>5279.2</v>
      </c>
      <c r="F7" s="501" t="s">
        <v>134</v>
      </c>
      <c r="G7" s="503">
        <v>2016100014</v>
      </c>
    </row>
    <row r="8" spans="1:8" ht="13.5">
      <c r="A8" s="499">
        <v>1</v>
      </c>
      <c r="B8" s="499">
        <v>74510</v>
      </c>
      <c r="C8" s="500">
        <v>6248.89</v>
      </c>
      <c r="D8" s="500"/>
      <c r="E8" s="500">
        <f>C8+D8</f>
        <v>6248.89</v>
      </c>
      <c r="F8" s="501" t="s">
        <v>146</v>
      </c>
      <c r="G8" s="503" t="s">
        <v>147</v>
      </c>
      <c r="H8" s="468"/>
    </row>
    <row r="9" spans="1:8" ht="13.5">
      <c r="A9" s="499">
        <v>1</v>
      </c>
      <c r="B9" s="499">
        <v>72425</v>
      </c>
      <c r="C9" s="500">
        <v>8994.55</v>
      </c>
      <c r="D9" s="500">
        <v>1349.18</v>
      </c>
      <c r="E9" s="500">
        <f>C9+D9</f>
        <v>10343.73</v>
      </c>
      <c r="F9" s="501" t="s">
        <v>132</v>
      </c>
      <c r="G9" s="503">
        <v>2016100015</v>
      </c>
      <c r="H9" s="471">
        <f>SUM(E5:E9)</f>
        <v>376826.07</v>
      </c>
    </row>
    <row r="10" spans="1:8" ht="13.5">
      <c r="A10" s="495">
        <v>2</v>
      </c>
      <c r="B10" s="495">
        <v>71620</v>
      </c>
      <c r="C10" s="496">
        <v>3545</v>
      </c>
      <c r="D10" s="496"/>
      <c r="E10" s="496">
        <v>3545</v>
      </c>
      <c r="F10" s="497" t="s">
        <v>175</v>
      </c>
      <c r="G10" s="498">
        <v>2016100009</v>
      </c>
      <c r="H10" s="469"/>
    </row>
    <row r="11" spans="1:8" ht="13.5">
      <c r="A11" s="495">
        <v>2</v>
      </c>
      <c r="B11" s="495">
        <v>71620</v>
      </c>
      <c r="C11" s="496">
        <v>3545</v>
      </c>
      <c r="D11" s="496"/>
      <c r="E11" s="496">
        <v>3545</v>
      </c>
      <c r="F11" s="497" t="s">
        <v>176</v>
      </c>
      <c r="G11" s="498">
        <v>2016100010</v>
      </c>
      <c r="H11" s="469"/>
    </row>
    <row r="12" spans="1:8" ht="13.5">
      <c r="A12" s="495">
        <v>2</v>
      </c>
      <c r="B12" s="495">
        <v>71620</v>
      </c>
      <c r="C12" s="496">
        <v>3545</v>
      </c>
      <c r="D12" s="496"/>
      <c r="E12" s="496">
        <v>3545</v>
      </c>
      <c r="F12" s="497" t="s">
        <v>148</v>
      </c>
      <c r="G12" s="498">
        <v>2016100011</v>
      </c>
      <c r="H12" s="469"/>
    </row>
    <row r="13" spans="1:8" ht="13.5">
      <c r="A13" s="495">
        <v>2</v>
      </c>
      <c r="B13" s="495">
        <v>74525</v>
      </c>
      <c r="C13" s="496">
        <v>3165.22</v>
      </c>
      <c r="D13" s="496">
        <v>474.78</v>
      </c>
      <c r="E13" s="496">
        <f>C13+D13</f>
        <v>3640</v>
      </c>
      <c r="F13" s="497" t="s">
        <v>177</v>
      </c>
      <c r="G13" s="498" t="s">
        <v>308</v>
      </c>
      <c r="H13" s="469"/>
    </row>
    <row r="14" spans="1:8" ht="13.5">
      <c r="A14" s="495">
        <v>2</v>
      </c>
      <c r="B14" s="495">
        <v>71610</v>
      </c>
      <c r="C14" s="496">
        <v>3028</v>
      </c>
      <c r="D14" s="496"/>
      <c r="E14" s="496">
        <v>3028</v>
      </c>
      <c r="F14" s="497" t="s">
        <v>178</v>
      </c>
      <c r="G14" s="498">
        <v>2016100013</v>
      </c>
      <c r="H14" s="469"/>
    </row>
    <row r="15" spans="1:8" ht="13.5">
      <c r="A15" s="495">
        <v>2</v>
      </c>
      <c r="B15" s="495">
        <v>71620</v>
      </c>
      <c r="C15" s="496">
        <v>2139</v>
      </c>
      <c r="D15" s="496"/>
      <c r="E15" s="496">
        <f>C15+D15</f>
        <v>2139</v>
      </c>
      <c r="F15" s="497" t="s">
        <v>310</v>
      </c>
      <c r="G15" s="498"/>
      <c r="H15" s="472">
        <f>SUM(E10:E15)</f>
        <v>19442</v>
      </c>
    </row>
    <row r="16" spans="1:8" ht="13.5">
      <c r="A16" s="490">
        <v>3</v>
      </c>
      <c r="B16" s="490">
        <v>72120</v>
      </c>
      <c r="C16" s="491">
        <v>14716.52</v>
      </c>
      <c r="D16" s="491">
        <v>2207.48</v>
      </c>
      <c r="E16" s="491">
        <f>C16+D16</f>
        <v>16924</v>
      </c>
      <c r="F16" s="492" t="s">
        <v>162</v>
      </c>
      <c r="G16" s="493">
        <v>2016100001</v>
      </c>
      <c r="H16" s="469"/>
    </row>
    <row r="17" spans="1:8" ht="13.5">
      <c r="A17" s="490">
        <v>3</v>
      </c>
      <c r="B17" s="490">
        <v>71305</v>
      </c>
      <c r="C17" s="491">
        <v>50445.04</v>
      </c>
      <c r="D17" s="491"/>
      <c r="E17" s="491">
        <f aca="true" t="shared" si="0" ref="E17:E23">C17+D17</f>
        <v>50445.04</v>
      </c>
      <c r="F17" s="492" t="s">
        <v>152</v>
      </c>
      <c r="G17" s="493" t="s">
        <v>153</v>
      </c>
      <c r="H17" s="469"/>
    </row>
    <row r="18" spans="1:8" ht="13.5">
      <c r="A18" s="490">
        <v>3</v>
      </c>
      <c r="B18" s="490">
        <v>71635</v>
      </c>
      <c r="C18" s="491">
        <v>2044</v>
      </c>
      <c r="D18" s="491"/>
      <c r="E18" s="491">
        <f t="shared" si="0"/>
        <v>2044</v>
      </c>
      <c r="F18" s="492" t="s">
        <v>163</v>
      </c>
      <c r="G18" s="493">
        <v>2016100002</v>
      </c>
      <c r="H18" s="469"/>
    </row>
    <row r="19" spans="1:8" ht="13.5">
      <c r="A19" s="490">
        <v>3</v>
      </c>
      <c r="B19" s="490">
        <v>71620</v>
      </c>
      <c r="C19" s="491">
        <v>34224</v>
      </c>
      <c r="D19" s="491"/>
      <c r="E19" s="491">
        <f t="shared" si="0"/>
        <v>34224</v>
      </c>
      <c r="F19" s="492" t="s">
        <v>164</v>
      </c>
      <c r="G19" s="493">
        <v>2016100003</v>
      </c>
      <c r="H19" s="469"/>
    </row>
    <row r="20" spans="1:8" ht="13.5">
      <c r="A20" s="490">
        <v>3</v>
      </c>
      <c r="B20" s="490">
        <v>71620</v>
      </c>
      <c r="C20" s="491">
        <v>2852</v>
      </c>
      <c r="D20" s="491"/>
      <c r="E20" s="491">
        <f t="shared" si="0"/>
        <v>2852</v>
      </c>
      <c r="F20" s="492" t="s">
        <v>165</v>
      </c>
      <c r="G20" s="493">
        <v>2016100004</v>
      </c>
      <c r="H20" s="469"/>
    </row>
    <row r="21" spans="1:8" ht="13.5">
      <c r="A21" s="490">
        <v>3</v>
      </c>
      <c r="B21" s="490">
        <v>71620</v>
      </c>
      <c r="C21" s="491">
        <v>2852</v>
      </c>
      <c r="D21" s="491"/>
      <c r="E21" s="491">
        <f t="shared" si="0"/>
        <v>2852</v>
      </c>
      <c r="F21" s="492" t="s">
        <v>166</v>
      </c>
      <c r="G21" s="493">
        <v>2016100005</v>
      </c>
      <c r="H21" s="469"/>
    </row>
    <row r="22" spans="1:8" ht="13.5">
      <c r="A22" s="490">
        <v>3</v>
      </c>
      <c r="B22" s="490">
        <v>71620</v>
      </c>
      <c r="C22" s="491">
        <v>2852</v>
      </c>
      <c r="D22" s="491"/>
      <c r="E22" s="491">
        <f t="shared" si="0"/>
        <v>2852</v>
      </c>
      <c r="F22" s="492" t="s">
        <v>167</v>
      </c>
      <c r="G22" s="493">
        <v>2016100006</v>
      </c>
      <c r="H22" s="469"/>
    </row>
    <row r="23" spans="1:8" ht="13.5">
      <c r="A23" s="490">
        <v>3</v>
      </c>
      <c r="B23" s="490">
        <v>71620</v>
      </c>
      <c r="C23" s="491">
        <v>2852</v>
      </c>
      <c r="D23" s="491"/>
      <c r="E23" s="491">
        <f t="shared" si="0"/>
        <v>2852</v>
      </c>
      <c r="F23" s="492" t="s">
        <v>179</v>
      </c>
      <c r="G23" s="493">
        <v>2016100007</v>
      </c>
      <c r="H23" s="469"/>
    </row>
    <row r="24" spans="1:8" ht="14.25" thickBot="1">
      <c r="A24" s="490">
        <v>3</v>
      </c>
      <c r="B24" s="490">
        <v>72515</v>
      </c>
      <c r="C24" s="491">
        <v>7890.17</v>
      </c>
      <c r="D24" s="491">
        <v>1183.53</v>
      </c>
      <c r="E24" s="491">
        <v>9073.7</v>
      </c>
      <c r="F24" s="492" t="s">
        <v>174</v>
      </c>
      <c r="G24" s="493">
        <v>2016100008</v>
      </c>
      <c r="H24" s="472">
        <f>SUM(E16:E24)</f>
        <v>124118.74</v>
      </c>
    </row>
    <row r="25" spans="1:8" ht="14.25" thickBot="1">
      <c r="A25" s="198"/>
      <c r="B25" s="198"/>
      <c r="C25" s="199">
        <f>SUM(C5:C24)</f>
        <v>514124.55999999994</v>
      </c>
      <c r="D25" s="199">
        <f>SUM(D5:D24)</f>
        <v>6262.249999999999</v>
      </c>
      <c r="E25" s="199">
        <f>SUM(E5:E24)</f>
        <v>520386.81</v>
      </c>
      <c r="F25" s="464"/>
      <c r="H25" s="438">
        <f>H9+H15+H24</f>
        <v>520386.81</v>
      </c>
    </row>
    <row r="26" spans="1:6" ht="13.5">
      <c r="A26" s="198"/>
      <c r="B26" s="198"/>
      <c r="C26" s="199"/>
      <c r="D26" s="199"/>
      <c r="E26" s="199"/>
      <c r="F26" s="464"/>
    </row>
    <row r="27" spans="1:6" ht="18">
      <c r="A27" s="663">
        <v>42675</v>
      </c>
      <c r="B27" s="663"/>
      <c r="C27" s="663"/>
      <c r="D27" s="663"/>
      <c r="E27" s="663"/>
      <c r="F27" s="663"/>
    </row>
    <row r="29" spans="1:6" ht="13.5">
      <c r="A29" s="195" t="s">
        <v>125</v>
      </c>
      <c r="B29" s="195" t="s">
        <v>128</v>
      </c>
      <c r="C29" s="196" t="s">
        <v>126</v>
      </c>
      <c r="D29" s="196" t="s">
        <v>118</v>
      </c>
      <c r="E29" s="196" t="s">
        <v>127</v>
      </c>
      <c r="F29" s="463" t="s">
        <v>133</v>
      </c>
    </row>
    <row r="30" spans="1:7" ht="13.5">
      <c r="A30" s="499">
        <v>1</v>
      </c>
      <c r="B30" s="499">
        <v>71405</v>
      </c>
      <c r="C30" s="500">
        <v>352204.27</v>
      </c>
      <c r="D30" s="500"/>
      <c r="E30" s="500">
        <f>C30+D30</f>
        <v>352204.27</v>
      </c>
      <c r="F30" s="501" t="s">
        <v>130</v>
      </c>
      <c r="G30" s="504" t="s">
        <v>147</v>
      </c>
    </row>
    <row r="31" spans="1:7" ht="13.5">
      <c r="A31" s="499">
        <v>1</v>
      </c>
      <c r="B31" s="499">
        <v>72452</v>
      </c>
      <c r="C31" s="500">
        <v>5351.95</v>
      </c>
      <c r="D31" s="500">
        <v>802.79</v>
      </c>
      <c r="E31" s="500">
        <f>C31+D31</f>
        <v>6154.74</v>
      </c>
      <c r="F31" s="501" t="s">
        <v>134</v>
      </c>
      <c r="G31" s="504">
        <v>2016110029</v>
      </c>
    </row>
    <row r="32" spans="1:7" ht="13.5">
      <c r="A32" s="499">
        <v>1</v>
      </c>
      <c r="B32" s="499">
        <v>72452</v>
      </c>
      <c r="C32" s="500">
        <v>8969.46</v>
      </c>
      <c r="D32" s="500">
        <v>1345.42</v>
      </c>
      <c r="E32" s="500">
        <f aca="true" t="shared" si="1" ref="E32:E52">C32+D32</f>
        <v>10314.88</v>
      </c>
      <c r="F32" s="501" t="s">
        <v>132</v>
      </c>
      <c r="G32" s="504">
        <v>2016110030</v>
      </c>
    </row>
    <row r="33" spans="1:7" ht="13.5">
      <c r="A33" s="499">
        <v>1</v>
      </c>
      <c r="B33" s="499">
        <v>72370</v>
      </c>
      <c r="C33" s="500">
        <v>2391.29</v>
      </c>
      <c r="D33" s="500">
        <v>358.69</v>
      </c>
      <c r="E33" s="500">
        <f t="shared" si="1"/>
        <v>2749.98</v>
      </c>
      <c r="F33" s="501" t="s">
        <v>145</v>
      </c>
      <c r="G33" s="504">
        <v>2016110031</v>
      </c>
    </row>
    <row r="34" spans="1:7" ht="13.5">
      <c r="A34" s="499">
        <v>1</v>
      </c>
      <c r="B34" s="499">
        <v>72399</v>
      </c>
      <c r="C34" s="500">
        <v>5489.03</v>
      </c>
      <c r="D34" s="500">
        <v>823.35</v>
      </c>
      <c r="E34" s="500">
        <v>6312.38</v>
      </c>
      <c r="F34" s="501" t="s">
        <v>180</v>
      </c>
      <c r="G34" s="504">
        <v>2016110001</v>
      </c>
    </row>
    <row r="35" spans="1:8" ht="13.5">
      <c r="A35" s="499">
        <v>1</v>
      </c>
      <c r="B35" s="499">
        <v>71800</v>
      </c>
      <c r="C35" s="500">
        <v>6700</v>
      </c>
      <c r="D35" s="500"/>
      <c r="E35" s="500">
        <f t="shared" si="1"/>
        <v>6700</v>
      </c>
      <c r="F35" s="501" t="s">
        <v>189</v>
      </c>
      <c r="G35" s="504">
        <v>2016110014</v>
      </c>
      <c r="H35" s="468"/>
    </row>
    <row r="36" spans="1:7" ht="13.5">
      <c r="A36" s="499">
        <v>1</v>
      </c>
      <c r="B36" s="499">
        <v>71800</v>
      </c>
      <c r="C36" s="500">
        <v>141680</v>
      </c>
      <c r="D36" s="500">
        <v>21252</v>
      </c>
      <c r="E36" s="500">
        <f t="shared" si="1"/>
        <v>162932</v>
      </c>
      <c r="F36" s="501" t="s">
        <v>190</v>
      </c>
      <c r="G36" s="504">
        <v>2016110015</v>
      </c>
    </row>
    <row r="37" spans="1:7" ht="13.5">
      <c r="A37" s="499">
        <v>1</v>
      </c>
      <c r="B37" s="499">
        <v>73410</v>
      </c>
      <c r="C37" s="500">
        <v>985.8</v>
      </c>
      <c r="D37" s="500"/>
      <c r="E37" s="500">
        <f t="shared" si="1"/>
        <v>985.8</v>
      </c>
      <c r="F37" s="501" t="s">
        <v>182</v>
      </c>
      <c r="G37" s="504">
        <v>2016110005</v>
      </c>
    </row>
    <row r="38" spans="1:7" ht="13.5">
      <c r="A38" s="499">
        <v>1</v>
      </c>
      <c r="B38" s="499">
        <v>73410</v>
      </c>
      <c r="C38" s="500">
        <v>26390.14</v>
      </c>
      <c r="D38" s="500"/>
      <c r="E38" s="500">
        <f t="shared" si="1"/>
        <v>26390.14</v>
      </c>
      <c r="F38" s="501" t="s">
        <v>226</v>
      </c>
      <c r="G38" s="504" t="s">
        <v>147</v>
      </c>
    </row>
    <row r="39" spans="1:7" ht="13.5">
      <c r="A39" s="499">
        <v>1</v>
      </c>
      <c r="B39" s="499">
        <v>74510</v>
      </c>
      <c r="C39" s="500">
        <v>6137.19</v>
      </c>
      <c r="D39" s="500"/>
      <c r="E39" s="500">
        <f t="shared" si="1"/>
        <v>6137.19</v>
      </c>
      <c r="F39" s="501" t="s">
        <v>146</v>
      </c>
      <c r="G39" s="504" t="s">
        <v>147</v>
      </c>
    </row>
    <row r="40" spans="1:7" ht="13.5">
      <c r="A40" s="499">
        <v>1</v>
      </c>
      <c r="B40" s="499">
        <v>71620</v>
      </c>
      <c r="C40" s="500">
        <v>3545</v>
      </c>
      <c r="D40" s="500"/>
      <c r="E40" s="500">
        <f>C40+D40</f>
        <v>3545</v>
      </c>
      <c r="F40" s="501" t="s">
        <v>191</v>
      </c>
      <c r="G40" s="504">
        <v>2016110016</v>
      </c>
    </row>
    <row r="41" spans="1:7" ht="13.5">
      <c r="A41" s="499">
        <v>1</v>
      </c>
      <c r="B41" s="499">
        <v>71620</v>
      </c>
      <c r="C41" s="500">
        <v>3545</v>
      </c>
      <c r="D41" s="500"/>
      <c r="E41" s="500">
        <f>C41+D41</f>
        <v>3545</v>
      </c>
      <c r="F41" s="501" t="s">
        <v>192</v>
      </c>
      <c r="G41" s="504">
        <v>2016110017</v>
      </c>
    </row>
    <row r="42" spans="1:7" ht="13.5">
      <c r="A42" s="499">
        <v>1</v>
      </c>
      <c r="B42" s="499">
        <v>71620</v>
      </c>
      <c r="C42" s="500">
        <v>3545</v>
      </c>
      <c r="D42" s="500"/>
      <c r="E42" s="500">
        <f>C42+D42</f>
        <v>3545</v>
      </c>
      <c r="F42" s="501" t="s">
        <v>176</v>
      </c>
      <c r="G42" s="504">
        <v>2016110018</v>
      </c>
    </row>
    <row r="43" spans="1:7" ht="13.5">
      <c r="A43" s="499">
        <v>1</v>
      </c>
      <c r="B43" s="499">
        <v>71620</v>
      </c>
      <c r="C43" s="500">
        <v>3545</v>
      </c>
      <c r="D43" s="500"/>
      <c r="E43" s="500">
        <f t="shared" si="1"/>
        <v>3545</v>
      </c>
      <c r="F43" s="501" t="s">
        <v>193</v>
      </c>
      <c r="G43" s="504">
        <v>2016110019</v>
      </c>
    </row>
    <row r="44" spans="1:7" ht="13.5">
      <c r="A44" s="499">
        <v>1</v>
      </c>
      <c r="B44" s="499">
        <v>71620</v>
      </c>
      <c r="C44" s="500">
        <v>3545</v>
      </c>
      <c r="D44" s="500"/>
      <c r="E44" s="500">
        <f t="shared" si="1"/>
        <v>3545</v>
      </c>
      <c r="F44" s="501" t="s">
        <v>194</v>
      </c>
      <c r="G44" s="504">
        <v>2016110020</v>
      </c>
    </row>
    <row r="45" spans="1:7" ht="13.5">
      <c r="A45" s="499">
        <v>1</v>
      </c>
      <c r="B45" s="499">
        <v>71620</v>
      </c>
      <c r="C45" s="500">
        <v>1300</v>
      </c>
      <c r="D45" s="500"/>
      <c r="E45" s="500">
        <f t="shared" si="1"/>
        <v>1300</v>
      </c>
      <c r="F45" s="501" t="s">
        <v>195</v>
      </c>
      <c r="G45" s="504">
        <v>2016110021</v>
      </c>
    </row>
    <row r="46" spans="1:7" ht="13.5">
      <c r="A46" s="499">
        <v>1</v>
      </c>
      <c r="B46" s="499">
        <v>71620</v>
      </c>
      <c r="C46" s="500">
        <v>1300</v>
      </c>
      <c r="D46" s="500"/>
      <c r="E46" s="500">
        <f t="shared" si="1"/>
        <v>1300</v>
      </c>
      <c r="F46" s="501" t="s">
        <v>196</v>
      </c>
      <c r="G46" s="504">
        <v>2016110022</v>
      </c>
    </row>
    <row r="47" spans="1:7" ht="13.5">
      <c r="A47" s="499">
        <v>1</v>
      </c>
      <c r="B47" s="499">
        <v>71620</v>
      </c>
      <c r="C47" s="500">
        <v>1300</v>
      </c>
      <c r="D47" s="500"/>
      <c r="E47" s="500">
        <f t="shared" si="1"/>
        <v>1300</v>
      </c>
      <c r="F47" s="501" t="s">
        <v>197</v>
      </c>
      <c r="G47" s="504">
        <v>2016110023</v>
      </c>
    </row>
    <row r="48" spans="1:7" ht="13.5">
      <c r="A48" s="499">
        <v>1</v>
      </c>
      <c r="B48" s="499">
        <v>71620</v>
      </c>
      <c r="C48" s="500">
        <v>3545</v>
      </c>
      <c r="D48" s="500"/>
      <c r="E48" s="500">
        <f t="shared" si="1"/>
        <v>3545</v>
      </c>
      <c r="F48" s="501" t="s">
        <v>198</v>
      </c>
      <c r="G48" s="504">
        <v>2016110024</v>
      </c>
    </row>
    <row r="49" spans="1:7" ht="13.5">
      <c r="A49" s="499">
        <v>1</v>
      </c>
      <c r="B49" s="499">
        <v>71620</v>
      </c>
      <c r="C49" s="500">
        <v>3545</v>
      </c>
      <c r="D49" s="500"/>
      <c r="E49" s="500">
        <f t="shared" si="1"/>
        <v>3545</v>
      </c>
      <c r="F49" s="501" t="s">
        <v>199</v>
      </c>
      <c r="G49" s="504">
        <v>2016110025</v>
      </c>
    </row>
    <row r="50" spans="1:7" ht="13.5">
      <c r="A50" s="499">
        <v>1</v>
      </c>
      <c r="B50" s="499">
        <v>71620</v>
      </c>
      <c r="C50" s="500">
        <v>3545</v>
      </c>
      <c r="D50" s="500"/>
      <c r="E50" s="500">
        <f t="shared" si="1"/>
        <v>3545</v>
      </c>
      <c r="F50" s="501" t="s">
        <v>200</v>
      </c>
      <c r="G50" s="504">
        <v>2016110026</v>
      </c>
    </row>
    <row r="51" spans="1:7" ht="13.5">
      <c r="A51" s="499">
        <v>1</v>
      </c>
      <c r="B51" s="499">
        <v>71305</v>
      </c>
      <c r="C51" s="500">
        <v>293603.47</v>
      </c>
      <c r="D51" s="500">
        <v>44040.52</v>
      </c>
      <c r="E51" s="500">
        <f t="shared" si="1"/>
        <v>337643.99</v>
      </c>
      <c r="F51" s="501" t="s">
        <v>201</v>
      </c>
      <c r="G51" s="504">
        <v>2016110027</v>
      </c>
    </row>
    <row r="52" spans="1:7" ht="13.5">
      <c r="A52" s="499">
        <v>1</v>
      </c>
      <c r="B52" s="499">
        <v>71305</v>
      </c>
      <c r="C52" s="500">
        <v>246391.1</v>
      </c>
      <c r="D52" s="500">
        <v>36958.67</v>
      </c>
      <c r="E52" s="500">
        <f t="shared" si="1"/>
        <v>283349.77</v>
      </c>
      <c r="F52" s="501" t="s">
        <v>156</v>
      </c>
      <c r="G52" s="504">
        <v>2016110028</v>
      </c>
    </row>
    <row r="53" spans="1:7" ht="13.5">
      <c r="A53" s="499">
        <v>1</v>
      </c>
      <c r="B53" s="499">
        <v>72399</v>
      </c>
      <c r="C53" s="500">
        <v>3391.3</v>
      </c>
      <c r="D53" s="500">
        <v>508.7</v>
      </c>
      <c r="E53" s="500">
        <f>C53+D53</f>
        <v>3900</v>
      </c>
      <c r="F53" s="501" t="s">
        <v>202</v>
      </c>
      <c r="G53" s="504">
        <v>2016110032</v>
      </c>
    </row>
    <row r="54" spans="1:7" ht="13.5">
      <c r="A54" s="499">
        <v>1</v>
      </c>
      <c r="B54" s="499">
        <v>72399</v>
      </c>
      <c r="C54" s="500">
        <v>21908.57</v>
      </c>
      <c r="D54" s="500">
        <v>3286.28</v>
      </c>
      <c r="E54" s="500">
        <f>C54+D54</f>
        <v>25194.85</v>
      </c>
      <c r="F54" s="501" t="s">
        <v>203</v>
      </c>
      <c r="G54" s="504">
        <v>2016110033</v>
      </c>
    </row>
    <row r="55" spans="1:7" ht="13.5">
      <c r="A55" s="499">
        <v>1</v>
      </c>
      <c r="B55" s="499">
        <v>71635</v>
      </c>
      <c r="C55" s="500">
        <v>800</v>
      </c>
      <c r="D55" s="500"/>
      <c r="E55" s="500">
        <f>C55+D55</f>
        <v>800</v>
      </c>
      <c r="F55" s="501" t="s">
        <v>204</v>
      </c>
      <c r="G55" s="504">
        <v>2016110034</v>
      </c>
    </row>
    <row r="56" spans="1:7" ht="13.5">
      <c r="A56" s="499">
        <v>1</v>
      </c>
      <c r="B56" s="499">
        <v>71620</v>
      </c>
      <c r="C56" s="500">
        <v>45306</v>
      </c>
      <c r="D56" s="500"/>
      <c r="E56" s="500">
        <f>C56+D56</f>
        <v>45306</v>
      </c>
      <c r="F56" s="501" t="s">
        <v>206</v>
      </c>
      <c r="G56" s="504">
        <v>2016110036</v>
      </c>
    </row>
    <row r="57" spans="1:7" ht="13.5">
      <c r="A57" s="499">
        <v>1</v>
      </c>
      <c r="B57" s="499">
        <v>72399</v>
      </c>
      <c r="C57" s="500">
        <v>8521.76</v>
      </c>
      <c r="D57" s="500">
        <v>1278.26</v>
      </c>
      <c r="E57" s="500">
        <f aca="true" t="shared" si="2" ref="E57:E65">C57+D57</f>
        <v>9800.02</v>
      </c>
      <c r="F57" s="501" t="s">
        <v>154</v>
      </c>
      <c r="G57" s="504">
        <v>2016110040</v>
      </c>
    </row>
    <row r="58" spans="1:7" ht="13.5">
      <c r="A58" s="499">
        <v>1</v>
      </c>
      <c r="B58" s="499">
        <v>72399</v>
      </c>
      <c r="C58" s="500">
        <v>3659.35</v>
      </c>
      <c r="D58" s="500">
        <v>548.9</v>
      </c>
      <c r="E58" s="500">
        <f t="shared" si="2"/>
        <v>4208.25</v>
      </c>
      <c r="F58" s="501" t="s">
        <v>180</v>
      </c>
      <c r="G58" s="504">
        <v>2016110043</v>
      </c>
    </row>
    <row r="59" spans="1:7" ht="13.5">
      <c r="A59" s="499">
        <v>1</v>
      </c>
      <c r="B59" s="499">
        <v>72399</v>
      </c>
      <c r="C59" s="500">
        <v>20000</v>
      </c>
      <c r="D59" s="500"/>
      <c r="E59" s="500">
        <f t="shared" si="2"/>
        <v>20000</v>
      </c>
      <c r="F59" s="501" t="s">
        <v>207</v>
      </c>
      <c r="G59" s="504">
        <v>2016110044</v>
      </c>
    </row>
    <row r="60" spans="1:7" ht="13.5">
      <c r="A60" s="499">
        <v>1</v>
      </c>
      <c r="B60" s="499">
        <v>71635</v>
      </c>
      <c r="C60" s="500">
        <v>5000</v>
      </c>
      <c r="D60" s="500"/>
      <c r="E60" s="500">
        <f t="shared" si="2"/>
        <v>5000</v>
      </c>
      <c r="F60" s="501" t="s">
        <v>208</v>
      </c>
      <c r="G60" s="504">
        <v>2016110045</v>
      </c>
    </row>
    <row r="61" spans="1:7" ht="13.5">
      <c r="A61" s="499">
        <v>1</v>
      </c>
      <c r="B61" s="499">
        <v>71620</v>
      </c>
      <c r="C61" s="500">
        <v>7352</v>
      </c>
      <c r="D61" s="500"/>
      <c r="E61" s="500">
        <f t="shared" si="2"/>
        <v>7352</v>
      </c>
      <c r="F61" s="501" t="s">
        <v>209</v>
      </c>
      <c r="G61" s="504">
        <v>2016110046</v>
      </c>
    </row>
    <row r="62" spans="1:7" ht="13.5">
      <c r="A62" s="499">
        <v>1</v>
      </c>
      <c r="B62" s="499">
        <v>71620</v>
      </c>
      <c r="C62" s="500">
        <v>3008</v>
      </c>
      <c r="D62" s="500"/>
      <c r="E62" s="500">
        <f t="shared" si="2"/>
        <v>3008</v>
      </c>
      <c r="F62" s="501" t="s">
        <v>210</v>
      </c>
      <c r="G62" s="504">
        <v>2016110047</v>
      </c>
    </row>
    <row r="63" spans="1:8" ht="13.5">
      <c r="A63" s="499">
        <v>1</v>
      </c>
      <c r="B63" s="499">
        <v>71620</v>
      </c>
      <c r="C63" s="500">
        <v>3339</v>
      </c>
      <c r="D63" s="500"/>
      <c r="E63" s="500">
        <f t="shared" si="2"/>
        <v>3339</v>
      </c>
      <c r="F63" s="501" t="s">
        <v>211</v>
      </c>
      <c r="G63" s="504">
        <v>2016110048</v>
      </c>
      <c r="H63" s="472">
        <f>SUM(E30:E63)</f>
        <v>1362043.2600000002</v>
      </c>
    </row>
    <row r="64" spans="1:8" ht="13.5">
      <c r="A64" s="495">
        <v>2</v>
      </c>
      <c r="B64" s="495">
        <v>71405</v>
      </c>
      <c r="C64" s="496">
        <v>800</v>
      </c>
      <c r="D64" s="496"/>
      <c r="E64" s="496">
        <f t="shared" si="2"/>
        <v>800</v>
      </c>
      <c r="F64" s="497" t="s">
        <v>324</v>
      </c>
      <c r="G64" s="509">
        <v>2016110002</v>
      </c>
      <c r="H64" s="472"/>
    </row>
    <row r="65" spans="1:8" ht="13.5">
      <c r="A65" s="495">
        <v>2</v>
      </c>
      <c r="B65" s="495">
        <v>71405</v>
      </c>
      <c r="C65" s="496">
        <v>800</v>
      </c>
      <c r="D65" s="496"/>
      <c r="E65" s="496">
        <f t="shared" si="2"/>
        <v>800</v>
      </c>
      <c r="F65" s="497" t="s">
        <v>335</v>
      </c>
      <c r="G65" s="509">
        <v>2016110003</v>
      </c>
      <c r="H65" s="472"/>
    </row>
    <row r="66" spans="1:7" ht="13.5">
      <c r="A66" s="495">
        <v>2</v>
      </c>
      <c r="B66" s="495">
        <v>72120</v>
      </c>
      <c r="C66" s="496">
        <v>3694.5</v>
      </c>
      <c r="D66" s="496">
        <v>554.18</v>
      </c>
      <c r="E66" s="496">
        <f aca="true" t="shared" si="3" ref="E66:E83">C66+D66</f>
        <v>4248.68</v>
      </c>
      <c r="F66" s="497" t="s">
        <v>183</v>
      </c>
      <c r="G66" s="509">
        <v>2016110006</v>
      </c>
    </row>
    <row r="67" spans="1:7" ht="13.5">
      <c r="A67" s="495">
        <v>2</v>
      </c>
      <c r="B67" s="495">
        <v>71305</v>
      </c>
      <c r="C67" s="496">
        <v>293603.47</v>
      </c>
      <c r="D67" s="496">
        <v>44040.52</v>
      </c>
      <c r="E67" s="496">
        <f t="shared" si="3"/>
        <v>337643.99</v>
      </c>
      <c r="F67" s="497" t="s">
        <v>201</v>
      </c>
      <c r="G67" s="509">
        <v>2016110027</v>
      </c>
    </row>
    <row r="68" spans="1:7" ht="13.5">
      <c r="A68" s="495">
        <v>2</v>
      </c>
      <c r="B68" s="495">
        <v>71305</v>
      </c>
      <c r="C68" s="496">
        <v>246391.1</v>
      </c>
      <c r="D68" s="496">
        <v>36958.67</v>
      </c>
      <c r="E68" s="496">
        <f t="shared" si="3"/>
        <v>283349.77</v>
      </c>
      <c r="F68" s="497" t="s">
        <v>156</v>
      </c>
      <c r="G68" s="509">
        <v>2016110028</v>
      </c>
    </row>
    <row r="69" spans="1:7" ht="13.5">
      <c r="A69" s="495">
        <v>2</v>
      </c>
      <c r="B69" s="495">
        <v>74525</v>
      </c>
      <c r="C69" s="496">
        <v>741</v>
      </c>
      <c r="D69" s="496"/>
      <c r="E69" s="496">
        <f t="shared" si="3"/>
        <v>741</v>
      </c>
      <c r="F69" s="510" t="s">
        <v>317</v>
      </c>
      <c r="G69" s="509">
        <v>2016110009</v>
      </c>
    </row>
    <row r="70" spans="1:8" ht="13.5">
      <c r="A70" s="495">
        <v>2</v>
      </c>
      <c r="B70" s="495">
        <v>71405</v>
      </c>
      <c r="C70" s="496">
        <v>800</v>
      </c>
      <c r="D70" s="496"/>
      <c r="E70" s="496">
        <f t="shared" si="3"/>
        <v>800</v>
      </c>
      <c r="F70" s="497" t="s">
        <v>185</v>
      </c>
      <c r="G70" s="509">
        <v>2016110010</v>
      </c>
      <c r="H70" s="468"/>
    </row>
    <row r="71" spans="1:7" ht="13.5">
      <c r="A71" s="495">
        <v>2</v>
      </c>
      <c r="B71" s="495">
        <v>71405</v>
      </c>
      <c r="C71" s="496">
        <v>800</v>
      </c>
      <c r="D71" s="496"/>
      <c r="E71" s="496">
        <f t="shared" si="3"/>
        <v>800</v>
      </c>
      <c r="F71" s="497" t="s">
        <v>186</v>
      </c>
      <c r="G71" s="509">
        <v>2016110011</v>
      </c>
    </row>
    <row r="72" spans="1:7" ht="13.5">
      <c r="A72" s="495">
        <v>2</v>
      </c>
      <c r="B72" s="495">
        <v>72120</v>
      </c>
      <c r="C72" s="496">
        <v>16000</v>
      </c>
      <c r="D72" s="496">
        <v>2400</v>
      </c>
      <c r="E72" s="496">
        <f t="shared" si="3"/>
        <v>18400</v>
      </c>
      <c r="F72" s="497" t="s">
        <v>187</v>
      </c>
      <c r="G72" s="509">
        <v>2016110013</v>
      </c>
    </row>
    <row r="73" spans="1:7" ht="13.5">
      <c r="A73" s="495">
        <v>2</v>
      </c>
      <c r="B73" s="495">
        <v>71305</v>
      </c>
      <c r="C73" s="496">
        <v>195323.14</v>
      </c>
      <c r="D73" s="496">
        <v>29298.47</v>
      </c>
      <c r="E73" s="496">
        <f t="shared" si="3"/>
        <v>224621.61000000002</v>
      </c>
      <c r="F73" s="497" t="s">
        <v>188</v>
      </c>
      <c r="G73" s="509">
        <v>2016110012</v>
      </c>
    </row>
    <row r="74" spans="1:7" ht="13.5">
      <c r="A74" s="495">
        <v>2</v>
      </c>
      <c r="B74" s="495">
        <v>72120</v>
      </c>
      <c r="C74" s="496">
        <v>17400</v>
      </c>
      <c r="D74" s="496">
        <v>2610</v>
      </c>
      <c r="E74" s="496">
        <f t="shared" si="3"/>
        <v>20010</v>
      </c>
      <c r="F74" s="497" t="s">
        <v>205</v>
      </c>
      <c r="G74" s="509">
        <v>2016110035</v>
      </c>
    </row>
    <row r="75" spans="1:7" ht="13.5">
      <c r="A75" s="495">
        <v>2</v>
      </c>
      <c r="B75" s="495">
        <v>72120</v>
      </c>
      <c r="C75" s="496">
        <v>15090</v>
      </c>
      <c r="D75" s="496">
        <v>2263.5</v>
      </c>
      <c r="E75" s="496">
        <f t="shared" si="3"/>
        <v>17353.5</v>
      </c>
      <c r="F75" s="497" t="s">
        <v>205</v>
      </c>
      <c r="G75" s="509">
        <v>2016110037</v>
      </c>
    </row>
    <row r="76" spans="1:7" ht="13.5">
      <c r="A76" s="495">
        <v>2</v>
      </c>
      <c r="B76" s="495">
        <v>71620</v>
      </c>
      <c r="C76" s="496">
        <v>9174</v>
      </c>
      <c r="D76" s="496"/>
      <c r="E76" s="496">
        <f t="shared" si="3"/>
        <v>9174</v>
      </c>
      <c r="F76" s="497" t="s">
        <v>309</v>
      </c>
      <c r="G76" s="509">
        <v>2016110041</v>
      </c>
    </row>
    <row r="77" spans="1:7" ht="13.5">
      <c r="A77" s="495">
        <v>2</v>
      </c>
      <c r="B77" s="495">
        <v>71620</v>
      </c>
      <c r="C77" s="496">
        <v>11676</v>
      </c>
      <c r="D77" s="496"/>
      <c r="E77" s="496">
        <f t="shared" si="3"/>
        <v>11676</v>
      </c>
      <c r="F77" s="497" t="s">
        <v>199</v>
      </c>
      <c r="G77" s="509">
        <v>2016110042</v>
      </c>
    </row>
    <row r="78" spans="1:8" ht="13.5">
      <c r="A78" s="495">
        <v>2</v>
      </c>
      <c r="B78" s="495">
        <v>71615</v>
      </c>
      <c r="C78" s="496">
        <v>22323.6</v>
      </c>
      <c r="D78" s="496"/>
      <c r="E78" s="496">
        <f t="shared" si="3"/>
        <v>22323.6</v>
      </c>
      <c r="F78" s="497" t="s">
        <v>212</v>
      </c>
      <c r="G78" s="509">
        <v>2016110049</v>
      </c>
      <c r="H78" s="472">
        <f>SUM(E64:E78)</f>
        <v>952742.1499999999</v>
      </c>
    </row>
    <row r="79" spans="1:8" ht="13.5">
      <c r="A79" s="505">
        <v>3</v>
      </c>
      <c r="B79" s="505">
        <v>71635</v>
      </c>
      <c r="C79" s="506">
        <v>564.95</v>
      </c>
      <c r="D79" s="506"/>
      <c r="E79" s="506">
        <f t="shared" si="3"/>
        <v>564.95</v>
      </c>
      <c r="F79" s="507" t="s">
        <v>181</v>
      </c>
      <c r="G79" s="508">
        <v>2016110004</v>
      </c>
      <c r="H79" s="468"/>
    </row>
    <row r="80" spans="1:8" ht="13.5">
      <c r="A80" s="505">
        <v>3</v>
      </c>
      <c r="B80" s="505">
        <v>71305</v>
      </c>
      <c r="C80" s="506">
        <v>50445.04</v>
      </c>
      <c r="D80" s="506"/>
      <c r="E80" s="506">
        <f t="shared" si="3"/>
        <v>50445.04</v>
      </c>
      <c r="F80" s="507" t="s">
        <v>152</v>
      </c>
      <c r="G80" s="508" t="s">
        <v>153</v>
      </c>
      <c r="H80" s="468"/>
    </row>
    <row r="81" spans="1:8" ht="13.5">
      <c r="A81" s="505">
        <v>3</v>
      </c>
      <c r="B81" s="505">
        <v>72120</v>
      </c>
      <c r="C81" s="506">
        <v>34052.17</v>
      </c>
      <c r="D81" s="506">
        <v>5107.83</v>
      </c>
      <c r="E81" s="506">
        <f t="shared" si="3"/>
        <v>39160</v>
      </c>
      <c r="F81" s="507" t="s">
        <v>184</v>
      </c>
      <c r="G81" s="508">
        <v>2016110007</v>
      </c>
      <c r="H81" s="468"/>
    </row>
    <row r="82" spans="1:8" ht="13.5">
      <c r="A82" s="505"/>
      <c r="B82" s="505"/>
      <c r="C82" s="506"/>
      <c r="D82" s="506"/>
      <c r="E82" s="506"/>
      <c r="F82" s="507"/>
      <c r="G82" s="508"/>
      <c r="H82" s="468"/>
    </row>
    <row r="83" spans="1:8" ht="13.5">
      <c r="A83" s="505">
        <v>3</v>
      </c>
      <c r="B83" s="505">
        <v>72120</v>
      </c>
      <c r="C83" s="506">
        <v>11673.91</v>
      </c>
      <c r="D83" s="506">
        <v>1751.09</v>
      </c>
      <c r="E83" s="506">
        <f t="shared" si="3"/>
        <v>13425</v>
      </c>
      <c r="F83" s="507" t="s">
        <v>184</v>
      </c>
      <c r="G83" s="508">
        <v>2016110008</v>
      </c>
      <c r="H83" s="471">
        <f>SUM(E79:E83)</f>
        <v>103594.98999999999</v>
      </c>
    </row>
    <row r="84" spans="1:8" ht="13.5">
      <c r="A84" s="198"/>
      <c r="B84" s="198"/>
      <c r="C84" s="440">
        <f>SUM(C30:C83)</f>
        <v>2182192.56</v>
      </c>
      <c r="D84" s="440">
        <f>SUM(D30:D83)</f>
        <v>236187.83999999994</v>
      </c>
      <c r="E84" s="403">
        <f>SUM(E30:E83)</f>
        <v>2418380.4000000004</v>
      </c>
      <c r="F84" s="464"/>
      <c r="H84" s="466">
        <f>H63+H78+H83</f>
        <v>2418380.4000000004</v>
      </c>
    </row>
    <row r="85" spans="3:4" ht="13.5">
      <c r="C85" s="401"/>
      <c r="D85" s="401"/>
    </row>
    <row r="86" spans="1:6" ht="18">
      <c r="A86" s="663">
        <v>42705</v>
      </c>
      <c r="B86" s="663"/>
      <c r="C86" s="663"/>
      <c r="D86" s="663"/>
      <c r="E86" s="663"/>
      <c r="F86" s="663"/>
    </row>
    <row r="88" spans="1:6" ht="13.5">
      <c r="A88" s="195" t="s">
        <v>125</v>
      </c>
      <c r="B88" s="195" t="s">
        <v>128</v>
      </c>
      <c r="C88" s="196" t="s">
        <v>126</v>
      </c>
      <c r="D88" s="196" t="s">
        <v>118</v>
      </c>
      <c r="E88" s="196" t="s">
        <v>127</v>
      </c>
      <c r="F88" s="465" t="s">
        <v>133</v>
      </c>
    </row>
    <row r="90" spans="1:7" ht="13.5">
      <c r="A90" s="499">
        <v>1</v>
      </c>
      <c r="B90" s="499">
        <v>71620</v>
      </c>
      <c r="C90" s="500">
        <v>3120</v>
      </c>
      <c r="D90" s="500">
        <v>0</v>
      </c>
      <c r="E90" s="500">
        <f>C90+D90</f>
        <v>3120</v>
      </c>
      <c r="F90" s="501" t="s">
        <v>213</v>
      </c>
      <c r="G90" s="504">
        <v>2016120001</v>
      </c>
    </row>
    <row r="91" spans="1:7" ht="13.5">
      <c r="A91" s="499">
        <v>1</v>
      </c>
      <c r="B91" s="499">
        <v>71620</v>
      </c>
      <c r="C91" s="500">
        <v>3640</v>
      </c>
      <c r="D91" s="500"/>
      <c r="E91" s="500">
        <f aca="true" t="shared" si="4" ref="E91:E102">C91+D91</f>
        <v>3640</v>
      </c>
      <c r="F91" s="501" t="s">
        <v>216</v>
      </c>
      <c r="G91" s="504">
        <v>2016120004</v>
      </c>
    </row>
    <row r="92" spans="1:7" ht="13.5">
      <c r="A92" s="499">
        <v>1</v>
      </c>
      <c r="B92" s="499">
        <v>72399</v>
      </c>
      <c r="C92" s="500">
        <v>1610.47</v>
      </c>
      <c r="D92" s="500"/>
      <c r="E92" s="500">
        <f t="shared" si="4"/>
        <v>1610.47</v>
      </c>
      <c r="F92" s="516" t="s">
        <v>318</v>
      </c>
      <c r="G92" s="504">
        <v>2016120011</v>
      </c>
    </row>
    <row r="93" spans="1:7" ht="13.5">
      <c r="A93" s="499">
        <v>1</v>
      </c>
      <c r="B93" s="499">
        <v>72425</v>
      </c>
      <c r="C93" s="500">
        <v>7096.65</v>
      </c>
      <c r="D93" s="500">
        <v>1064.5</v>
      </c>
      <c r="E93" s="500">
        <f t="shared" si="4"/>
        <v>8161.15</v>
      </c>
      <c r="F93" s="501" t="s">
        <v>134</v>
      </c>
      <c r="G93" s="504">
        <v>2016120013</v>
      </c>
    </row>
    <row r="94" spans="1:7" ht="13.5">
      <c r="A94" s="499">
        <v>1</v>
      </c>
      <c r="B94" s="499">
        <v>71405</v>
      </c>
      <c r="C94" s="500">
        <v>354704.27</v>
      </c>
      <c r="D94" s="522"/>
      <c r="E94" s="500">
        <f t="shared" si="4"/>
        <v>354704.27</v>
      </c>
      <c r="F94" s="501" t="s">
        <v>130</v>
      </c>
      <c r="G94" s="521" t="s">
        <v>147</v>
      </c>
    </row>
    <row r="95" spans="1:7" ht="13.5">
      <c r="A95" s="499">
        <v>1</v>
      </c>
      <c r="B95" s="499">
        <v>72425</v>
      </c>
      <c r="C95" s="500">
        <v>8982</v>
      </c>
      <c r="D95" s="500">
        <v>1347.3</v>
      </c>
      <c r="E95" s="500">
        <f t="shared" si="4"/>
        <v>10329.3</v>
      </c>
      <c r="F95" s="501" t="s">
        <v>135</v>
      </c>
      <c r="G95" s="504">
        <v>2016120014</v>
      </c>
    </row>
    <row r="96" spans="1:7" ht="13.5">
      <c r="A96" s="499">
        <v>1</v>
      </c>
      <c r="B96" s="499">
        <v>72370</v>
      </c>
      <c r="C96" s="500">
        <v>2391.29</v>
      </c>
      <c r="D96" s="500">
        <v>358.69</v>
      </c>
      <c r="E96" s="500">
        <f t="shared" si="4"/>
        <v>2749.98</v>
      </c>
      <c r="F96" s="501" t="s">
        <v>145</v>
      </c>
      <c r="G96" s="504">
        <v>2016120015</v>
      </c>
    </row>
    <row r="97" spans="1:7" ht="13.5">
      <c r="A97" s="499">
        <v>1</v>
      </c>
      <c r="B97" s="499">
        <v>72399</v>
      </c>
      <c r="C97" s="500">
        <v>39826.09</v>
      </c>
      <c r="D97" s="500">
        <v>5973.91</v>
      </c>
      <c r="E97" s="500">
        <f t="shared" si="4"/>
        <v>45800</v>
      </c>
      <c r="F97" s="501" t="s">
        <v>222</v>
      </c>
      <c r="G97" s="504">
        <v>2016120017</v>
      </c>
    </row>
    <row r="98" spans="1:7" ht="13.5">
      <c r="A98" s="499">
        <v>1</v>
      </c>
      <c r="B98" s="499">
        <v>72425</v>
      </c>
      <c r="C98" s="500">
        <v>2885</v>
      </c>
      <c r="D98" s="500"/>
      <c r="E98" s="500">
        <f t="shared" si="4"/>
        <v>2885</v>
      </c>
      <c r="F98" s="516" t="s">
        <v>319</v>
      </c>
      <c r="G98" s="504">
        <v>2016120020</v>
      </c>
    </row>
    <row r="99" spans="1:7" ht="13.5">
      <c r="A99" s="499">
        <v>1</v>
      </c>
      <c r="B99" s="499">
        <v>73410</v>
      </c>
      <c r="C99" s="500">
        <v>14487.02</v>
      </c>
      <c r="D99" s="500">
        <v>2173.05</v>
      </c>
      <c r="E99" s="500">
        <f t="shared" si="4"/>
        <v>16660.07</v>
      </c>
      <c r="F99" s="501" t="s">
        <v>225</v>
      </c>
      <c r="G99" s="504">
        <v>2016120023</v>
      </c>
    </row>
    <row r="100" spans="1:7" ht="13.5">
      <c r="A100" s="499">
        <v>1</v>
      </c>
      <c r="B100" s="499">
        <v>74510</v>
      </c>
      <c r="C100" s="500">
        <v>12939.43</v>
      </c>
      <c r="D100" s="500"/>
      <c r="E100" s="500">
        <f t="shared" si="4"/>
        <v>12939.43</v>
      </c>
      <c r="F100" s="501" t="s">
        <v>228</v>
      </c>
      <c r="G100" s="521" t="s">
        <v>147</v>
      </c>
    </row>
    <row r="101" spans="1:8" ht="13.5">
      <c r="A101" s="499">
        <v>1</v>
      </c>
      <c r="B101" s="499">
        <v>72399</v>
      </c>
      <c r="C101" s="500">
        <v>13320</v>
      </c>
      <c r="D101" s="500"/>
      <c r="E101" s="500">
        <f t="shared" si="4"/>
        <v>13320</v>
      </c>
      <c r="F101" s="501" t="s">
        <v>233</v>
      </c>
      <c r="G101" s="504">
        <v>2016120027</v>
      </c>
      <c r="H101" s="469"/>
    </row>
    <row r="102" spans="1:8" ht="13.5">
      <c r="A102" s="499">
        <v>1</v>
      </c>
      <c r="B102" s="499">
        <v>72399</v>
      </c>
      <c r="C102" s="500">
        <v>2500</v>
      </c>
      <c r="D102" s="500">
        <v>375</v>
      </c>
      <c r="E102" s="500">
        <f t="shared" si="4"/>
        <v>2875</v>
      </c>
      <c r="F102" s="501" t="s">
        <v>222</v>
      </c>
      <c r="G102" s="504">
        <v>2016120028</v>
      </c>
      <c r="H102" s="472">
        <f>SUM(E90:E102)</f>
        <v>478794.67</v>
      </c>
    </row>
    <row r="103" spans="1:7" ht="13.5">
      <c r="A103" s="495">
        <v>2</v>
      </c>
      <c r="B103" s="495">
        <v>71305</v>
      </c>
      <c r="C103" s="496">
        <v>395650</v>
      </c>
      <c r="D103" s="496">
        <v>59347</v>
      </c>
      <c r="E103" s="496">
        <f>C103+D103</f>
        <v>454997</v>
      </c>
      <c r="F103" s="497" t="s">
        <v>214</v>
      </c>
      <c r="G103" s="509">
        <v>2016120002</v>
      </c>
    </row>
    <row r="104" spans="1:10" s="559" customFormat="1" ht="13.5">
      <c r="A104" s="495">
        <v>1</v>
      </c>
      <c r="B104" s="495">
        <v>73410</v>
      </c>
      <c r="C104" s="496">
        <v>21251.45</v>
      </c>
      <c r="D104" s="496"/>
      <c r="E104" s="496">
        <f>C104+D104</f>
        <v>21251.45</v>
      </c>
      <c r="F104" s="497" t="s">
        <v>227</v>
      </c>
      <c r="G104" s="557" t="s">
        <v>147</v>
      </c>
      <c r="H104" s="558"/>
      <c r="J104" s="568"/>
    </row>
    <row r="105" spans="1:10" s="559" customFormat="1" ht="13.5">
      <c r="A105" s="495"/>
      <c r="B105" s="495"/>
      <c r="C105" s="496">
        <v>20000</v>
      </c>
      <c r="D105" s="496"/>
      <c r="E105" s="496">
        <f>C105+D105</f>
        <v>20000</v>
      </c>
      <c r="F105" s="497"/>
      <c r="G105" s="557"/>
      <c r="H105" s="558"/>
      <c r="J105" s="568"/>
    </row>
    <row r="106" spans="1:7" ht="13.5">
      <c r="A106" s="495">
        <v>2</v>
      </c>
      <c r="B106" s="495">
        <v>71800</v>
      </c>
      <c r="C106" s="496">
        <v>10268</v>
      </c>
      <c r="D106" s="496"/>
      <c r="E106" s="496">
        <f aca="true" t="shared" si="5" ref="E106:E117">C106+D106</f>
        <v>10268</v>
      </c>
      <c r="F106" s="497" t="s">
        <v>217</v>
      </c>
      <c r="G106" s="509">
        <v>2016120005</v>
      </c>
    </row>
    <row r="107" spans="1:7" ht="13.5">
      <c r="A107" s="495">
        <v>2</v>
      </c>
      <c r="B107" s="495">
        <v>72120</v>
      </c>
      <c r="C107" s="496">
        <v>27940</v>
      </c>
      <c r="D107" s="496">
        <v>4191</v>
      </c>
      <c r="E107" s="496">
        <f t="shared" si="5"/>
        <v>32131</v>
      </c>
      <c r="F107" s="497" t="s">
        <v>218</v>
      </c>
      <c r="G107" s="509">
        <v>2016120006</v>
      </c>
    </row>
    <row r="108" spans="1:7" ht="13.5">
      <c r="A108" s="495">
        <v>2</v>
      </c>
      <c r="B108" s="495">
        <v>72120</v>
      </c>
      <c r="C108" s="496">
        <v>81360</v>
      </c>
      <c r="D108" s="496">
        <v>0</v>
      </c>
      <c r="E108" s="496">
        <f t="shared" si="5"/>
        <v>81360</v>
      </c>
      <c r="F108" s="497" t="s">
        <v>219</v>
      </c>
      <c r="G108" s="509">
        <v>2016120007</v>
      </c>
    </row>
    <row r="109" spans="1:7" ht="13.5">
      <c r="A109" s="495">
        <v>2</v>
      </c>
      <c r="B109" s="495">
        <v>72399</v>
      </c>
      <c r="C109" s="496">
        <v>4222.23</v>
      </c>
      <c r="D109" s="496">
        <v>0</v>
      </c>
      <c r="E109" s="496">
        <f t="shared" si="5"/>
        <v>4222.23</v>
      </c>
      <c r="F109" s="510" t="s">
        <v>320</v>
      </c>
      <c r="G109" s="509">
        <v>2016120008</v>
      </c>
    </row>
    <row r="110" spans="1:7" ht="13.5">
      <c r="A110" s="495">
        <v>2</v>
      </c>
      <c r="B110" s="495">
        <v>72120</v>
      </c>
      <c r="C110" s="496">
        <v>2117.78</v>
      </c>
      <c r="D110" s="496">
        <v>317.67</v>
      </c>
      <c r="E110" s="496">
        <f t="shared" si="5"/>
        <v>2435.4500000000003</v>
      </c>
      <c r="F110" s="497" t="s">
        <v>220</v>
      </c>
      <c r="G110" s="509">
        <v>2016120009</v>
      </c>
    </row>
    <row r="111" spans="1:7" ht="13.5">
      <c r="A111" s="495">
        <v>2</v>
      </c>
      <c r="B111" s="495">
        <v>73410</v>
      </c>
      <c r="C111" s="496">
        <v>757.15</v>
      </c>
      <c r="D111" s="496">
        <v>0</v>
      </c>
      <c r="E111" s="496">
        <f t="shared" si="5"/>
        <v>757.15</v>
      </c>
      <c r="F111" s="497" t="s">
        <v>221</v>
      </c>
      <c r="G111" s="509">
        <v>2016120010</v>
      </c>
    </row>
    <row r="112" spans="1:7" ht="13.5">
      <c r="A112" s="495">
        <v>2</v>
      </c>
      <c r="B112" s="495">
        <v>72120</v>
      </c>
      <c r="C112" s="496">
        <v>985</v>
      </c>
      <c r="D112" s="496">
        <v>147.75</v>
      </c>
      <c r="E112" s="496">
        <f t="shared" si="5"/>
        <v>1132.75</v>
      </c>
      <c r="F112" s="497" t="s">
        <v>183</v>
      </c>
      <c r="G112" s="509">
        <v>2016120012</v>
      </c>
    </row>
    <row r="113" spans="1:7" ht="13.5">
      <c r="A113" s="495">
        <v>2</v>
      </c>
      <c r="B113" s="495">
        <v>72120</v>
      </c>
      <c r="C113" s="496">
        <v>4950</v>
      </c>
      <c r="D113" s="496">
        <v>742.5</v>
      </c>
      <c r="E113" s="496">
        <f t="shared" si="5"/>
        <v>5692.5</v>
      </c>
      <c r="F113" s="497" t="s">
        <v>183</v>
      </c>
      <c r="G113" s="509">
        <v>2016120016</v>
      </c>
    </row>
    <row r="114" spans="1:7" ht="13.5">
      <c r="A114" s="495">
        <v>2</v>
      </c>
      <c r="B114" s="495">
        <v>71305</v>
      </c>
      <c r="C114" s="496">
        <v>195323.14</v>
      </c>
      <c r="D114" s="496">
        <v>29298.47</v>
      </c>
      <c r="E114" s="496">
        <f t="shared" si="5"/>
        <v>224621.61000000002</v>
      </c>
      <c r="F114" s="497" t="s">
        <v>224</v>
      </c>
      <c r="G114" s="509">
        <v>2016120019</v>
      </c>
    </row>
    <row r="115" spans="1:7" ht="13.5">
      <c r="A115" s="495">
        <v>2</v>
      </c>
      <c r="B115" s="495">
        <v>71305</v>
      </c>
      <c r="C115" s="496">
        <v>237390</v>
      </c>
      <c r="D115" s="496">
        <v>35608.5</v>
      </c>
      <c r="E115" s="496">
        <f t="shared" si="5"/>
        <v>272998.5</v>
      </c>
      <c r="F115" s="497" t="s">
        <v>214</v>
      </c>
      <c r="G115" s="509">
        <v>2016120021</v>
      </c>
    </row>
    <row r="116" spans="1:8" ht="13.5">
      <c r="A116" s="495">
        <v>2</v>
      </c>
      <c r="B116" s="495">
        <v>72120</v>
      </c>
      <c r="C116" s="496">
        <v>32490</v>
      </c>
      <c r="D116" s="496">
        <v>4873.5</v>
      </c>
      <c r="E116" s="496">
        <f t="shared" si="5"/>
        <v>37363.5</v>
      </c>
      <c r="F116" s="497" t="s">
        <v>231</v>
      </c>
      <c r="G116" s="509">
        <v>2016120024</v>
      </c>
      <c r="H116" s="469"/>
    </row>
    <row r="117" spans="1:8" ht="13.5">
      <c r="A117" s="495">
        <v>2</v>
      </c>
      <c r="B117" s="495">
        <v>72120</v>
      </c>
      <c r="C117" s="496">
        <v>27940</v>
      </c>
      <c r="D117" s="496">
        <v>4191</v>
      </c>
      <c r="E117" s="496">
        <f t="shared" si="5"/>
        <v>32131</v>
      </c>
      <c r="F117" s="497" t="s">
        <v>218</v>
      </c>
      <c r="G117" s="509">
        <v>2016120025</v>
      </c>
      <c r="H117" s="469"/>
    </row>
    <row r="118" spans="1:8" ht="13.5">
      <c r="A118" s="495">
        <v>2</v>
      </c>
      <c r="B118" s="495">
        <v>71405</v>
      </c>
      <c r="C118" s="496">
        <v>1600</v>
      </c>
      <c r="D118" s="496"/>
      <c r="E118" s="496">
        <f>C118+D118</f>
        <v>1600</v>
      </c>
      <c r="F118" s="497" t="s">
        <v>232</v>
      </c>
      <c r="G118" s="509">
        <v>2016120026</v>
      </c>
      <c r="H118" s="473"/>
    </row>
    <row r="119" spans="1:8" ht="13.5">
      <c r="A119" s="495">
        <v>2</v>
      </c>
      <c r="B119" s="495">
        <v>72399</v>
      </c>
      <c r="C119" s="496">
        <v>3130.43</v>
      </c>
      <c r="D119" s="496">
        <v>469.57</v>
      </c>
      <c r="E119" s="496">
        <f>C119+D119</f>
        <v>3600</v>
      </c>
      <c r="F119" s="497" t="s">
        <v>234</v>
      </c>
      <c r="G119" s="509">
        <v>2016120029</v>
      </c>
      <c r="H119" s="472">
        <f>SUM(E103:E119)</f>
        <v>1206562.14</v>
      </c>
    </row>
    <row r="120" spans="1:10" ht="13.5">
      <c r="A120" s="517">
        <v>3</v>
      </c>
      <c r="B120" s="517">
        <v>71305</v>
      </c>
      <c r="C120" s="518">
        <v>80385</v>
      </c>
      <c r="D120" s="518">
        <v>10485</v>
      </c>
      <c r="E120" s="518">
        <f>C120+D120</f>
        <v>90870</v>
      </c>
      <c r="F120" s="512" t="s">
        <v>223</v>
      </c>
      <c r="G120" s="519">
        <v>2016120018</v>
      </c>
      <c r="J120" s="192">
        <v>160964.41</v>
      </c>
    </row>
    <row r="121" spans="1:7" ht="13.5">
      <c r="A121" s="517">
        <v>3</v>
      </c>
      <c r="B121" s="517">
        <v>71405</v>
      </c>
      <c r="C121" s="518">
        <v>315851.46</v>
      </c>
      <c r="D121" s="518"/>
      <c r="E121" s="518">
        <f>C121+D121</f>
        <v>315851.46</v>
      </c>
      <c r="F121" s="512" t="s">
        <v>229</v>
      </c>
      <c r="G121" s="520" t="s">
        <v>147</v>
      </c>
    </row>
    <row r="122" spans="1:7" ht="13.5">
      <c r="A122" s="517">
        <v>3</v>
      </c>
      <c r="B122" s="517">
        <v>71305</v>
      </c>
      <c r="C122" s="518">
        <v>50445.04</v>
      </c>
      <c r="D122" s="518"/>
      <c r="E122" s="518">
        <v>50445.04</v>
      </c>
      <c r="F122" s="512" t="s">
        <v>152</v>
      </c>
      <c r="G122" s="520" t="s">
        <v>153</v>
      </c>
    </row>
    <row r="123" spans="1:8" ht="13.5">
      <c r="A123" s="517">
        <v>3</v>
      </c>
      <c r="B123" s="517">
        <v>71305</v>
      </c>
      <c r="C123" s="518">
        <v>25222.52</v>
      </c>
      <c r="D123" s="518"/>
      <c r="E123" s="518">
        <f>C123+D123</f>
        <v>25222.52</v>
      </c>
      <c r="F123" s="512" t="s">
        <v>230</v>
      </c>
      <c r="G123" s="520" t="s">
        <v>153</v>
      </c>
      <c r="H123" s="472">
        <f>SUM(E120:E123)</f>
        <v>482389.02</v>
      </c>
    </row>
    <row r="124" spans="1:8" ht="13.5">
      <c r="A124" s="517"/>
      <c r="B124" s="517"/>
      <c r="C124" s="518"/>
      <c r="D124" s="518">
        <f>SUM(D90:D123)</f>
        <v>160964.41</v>
      </c>
      <c r="E124" s="518"/>
      <c r="F124" s="512"/>
      <c r="G124" s="520"/>
      <c r="H124" s="472"/>
    </row>
    <row r="125" spans="1:9" ht="13.5">
      <c r="A125" s="513">
        <v>5</v>
      </c>
      <c r="B125" s="513">
        <v>72120</v>
      </c>
      <c r="C125" s="514">
        <v>213000</v>
      </c>
      <c r="D125" s="514">
        <v>31950</v>
      </c>
      <c r="E125" s="514">
        <v>244950</v>
      </c>
      <c r="F125" s="511" t="s">
        <v>215</v>
      </c>
      <c r="G125" s="515">
        <v>2016120003</v>
      </c>
      <c r="I125" s="191" t="s">
        <v>340</v>
      </c>
    </row>
    <row r="126" spans="1:10" ht="13.5">
      <c r="A126" s="513">
        <v>5</v>
      </c>
      <c r="B126" s="513">
        <v>72120</v>
      </c>
      <c r="C126" s="514">
        <v>127800</v>
      </c>
      <c r="D126" s="514">
        <v>19170</v>
      </c>
      <c r="E126" s="514">
        <f>C126+D126</f>
        <v>146970</v>
      </c>
      <c r="F126" s="511" t="s">
        <v>215</v>
      </c>
      <c r="G126" s="515">
        <v>2016120022</v>
      </c>
      <c r="H126" s="472">
        <f>SUM(E125:E126)</f>
        <v>391920</v>
      </c>
      <c r="I126" s="191" t="s">
        <v>339</v>
      </c>
      <c r="J126" s="192">
        <v>51120</v>
      </c>
    </row>
    <row r="127" spans="3:8" ht="13.5">
      <c r="C127" s="194">
        <f>SUM(C90:C126)</f>
        <v>2347581.42</v>
      </c>
      <c r="D127" s="194">
        <f>SUM(D125:D126)</f>
        <v>51120</v>
      </c>
      <c r="E127" s="194">
        <f>SUM(E90:E126)</f>
        <v>2559665.8299999996</v>
      </c>
      <c r="H127" s="466">
        <f>H102+H119+H123+H126</f>
        <v>2559665.83</v>
      </c>
    </row>
    <row r="128" spans="3:8" ht="13.5">
      <c r="C128" s="194">
        <f>SUM(C25+C84+C127)</f>
        <v>5043898.54</v>
      </c>
      <c r="D128" s="194">
        <f>SUM(D25+D84+D124+D127)</f>
        <v>454534.49999999994</v>
      </c>
      <c r="E128" s="194">
        <f>E25+E84+E127</f>
        <v>5498433.04</v>
      </c>
      <c r="H128" s="470"/>
    </row>
    <row r="129" ht="13.5">
      <c r="E129" s="193"/>
    </row>
    <row r="130" spans="1:5" ht="13.5">
      <c r="A130" s="197" t="s">
        <v>127</v>
      </c>
      <c r="C130" s="439" t="s">
        <v>143</v>
      </c>
      <c r="D130" s="365">
        <f>D25+D84+D127</f>
        <v>293570.08999999997</v>
      </c>
      <c r="E130" s="193">
        <f>E25+E84+E127+E129</f>
        <v>5498433.04</v>
      </c>
    </row>
    <row r="131" spans="1:5" ht="13.5">
      <c r="A131" s="198"/>
      <c r="E131" s="193"/>
    </row>
    <row r="132" spans="1:8" ht="13.5">
      <c r="A132" s="198"/>
      <c r="E132" s="193">
        <f>E130+E131</f>
        <v>5498433.04</v>
      </c>
      <c r="H132" s="470"/>
    </row>
  </sheetData>
  <sheetProtection/>
  <mergeCells count="3">
    <mergeCell ref="A1:F1"/>
    <mergeCell ref="A86:F86"/>
    <mergeCell ref="A27:F27"/>
  </mergeCells>
  <printOptions/>
  <pageMargins left="0.7" right="0.7" top="0.75" bottom="0.75" header="0.3" footer="0.3"/>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 Quarter 4 - 06  January 2017</dc:title>
  <dc:subject/>
  <dc:creator>Nashilongo Amutenya</dc:creator>
  <cp:keywords/>
  <dc:description/>
  <cp:lastModifiedBy>Kambonde</cp:lastModifiedBy>
  <cp:lastPrinted>2017-01-06T08:31:17Z</cp:lastPrinted>
  <dcterms:created xsi:type="dcterms:W3CDTF">2009-10-14T12:40:35Z</dcterms:created>
  <dcterms:modified xsi:type="dcterms:W3CDTF">2017-01-06T08:35:36Z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1552;#NAM|c25d75bf-6998-42d7-a2ea-f5ed1b3ef599;#1109;#Budget|1c1fa43a-cb36-4844-8715-9a4cc93e1ac9;#296;#Environment and Energy|507850c5-118d-4c78-99b1-c760df552b10;#1;#English|7f98b732-4b5b-4b70-ba90-a0eff09b5d2d;#763;#Draft|121d40a5-e62e-4d42-82e4-d6d120</vt:lpwstr>
  </property>
  <property fmtid="{D5CDD505-2E9C-101B-9397-08002B2CF9AE}" pid="6" name="UNDPPublishedDa">
    <vt:lpwstr>2017-12-03T10:00:00Z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NAM|c25d75bf-6998-42d7-a2ea-f5ed1b3ef599</vt:lpwstr>
  </property>
  <property fmtid="{D5CDD505-2E9C-101B-9397-08002B2CF9AE}" pid="10" name="Operating Uni">
    <vt:lpwstr>1552;#NAM|c25d75bf-6998-42d7-a2ea-f5ed1b3ef599</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ATLASPDC-4-73237</vt:lpwstr>
  </property>
  <property fmtid="{D5CDD505-2E9C-101B-9397-08002B2CF9AE}" pid="15" name="_dlc_DocIdItemGu">
    <vt:lpwstr>d1f6a6c4-e031-4d78-bb76-3497b747aeff</vt:lpwstr>
  </property>
  <property fmtid="{D5CDD505-2E9C-101B-9397-08002B2CF9AE}" pid="16" name="_dlc_DocIdU">
    <vt:lpwstr>https://info.undp.org/docs/pdc/_layouts/DocIdRedir.aspx?ID=ATLASPDC-4-73237, ATLASPDC-4-73237</vt:lpwstr>
  </property>
  <property fmtid="{D5CDD505-2E9C-101B-9397-08002B2CF9AE}" pid="17" name="UNDPCount">
    <vt:lpwstr/>
  </property>
  <property fmtid="{D5CDD505-2E9C-101B-9397-08002B2CF9AE}" pid="18" name="UndpDocStat">
    <vt:lpwstr>Draft</vt:lpwstr>
  </property>
  <property fmtid="{D5CDD505-2E9C-101B-9397-08002B2CF9AE}" pid="19" name="Atlas Document Ty">
    <vt:lpwstr>1109;#Budget|1c1fa43a-cb36-4844-8715-9a4cc93e1ac9</vt:lpwstr>
  </property>
  <property fmtid="{D5CDD505-2E9C-101B-9397-08002B2CF9AE}" pid="20" name="UNDPCountryTaxHTFiel">
    <vt:lpwstr/>
  </property>
  <property fmtid="{D5CDD505-2E9C-101B-9397-08002B2CF9AE}" pid="21" name="UNDPFocusAreasTaxHTFiel">
    <vt:lpwstr>Environment and Energy|507850c5-118d-4c78-99b1-c760df552b10</vt:lpwstr>
  </property>
  <property fmtid="{D5CDD505-2E9C-101B-9397-08002B2CF9AE}" pid="22" name="UndpOUCo">
    <vt:lpwstr/>
  </property>
  <property fmtid="{D5CDD505-2E9C-101B-9397-08002B2CF9AE}" pid="23" name="idff2b682fce4d0680503cd9036a32">
    <vt:lpwstr>Budget|1c1fa43a-cb36-4844-8715-9a4cc93e1ac9</vt:lpwstr>
  </property>
  <property fmtid="{D5CDD505-2E9C-101B-9397-08002B2CF9AE}" pid="24" name="UNDPFocusAre">
    <vt:lpwstr>296;#Environment and Energy|507850c5-118d-4c78-99b1-c760df552b10</vt:lpwstr>
  </property>
  <property fmtid="{D5CDD505-2E9C-101B-9397-08002B2CF9AE}" pid="25" name="Outcom">
    <vt:lpwstr/>
  </property>
  <property fmtid="{D5CDD505-2E9C-101B-9397-08002B2CF9AE}" pid="26" name="UndpProject">
    <vt:lpwstr>00083204</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
    <vt:lpwstr/>
  </property>
  <property fmtid="{D5CDD505-2E9C-101B-9397-08002B2CF9AE}" pid="34" name="UnitTaxHTFiel">
    <vt:lpwstr/>
  </property>
  <property fmtid="{D5CDD505-2E9C-101B-9397-08002B2CF9AE}" pid="35" name="Project Manag">
    <vt:lpwstr/>
  </property>
  <property fmtid="{D5CDD505-2E9C-101B-9397-08002B2CF9AE}" pid="36" name="UndpIsTempla">
    <vt:lpwstr>No</vt:lpwstr>
  </property>
  <property fmtid="{D5CDD505-2E9C-101B-9397-08002B2CF9AE}" pid="37" name="UNDPDocumentCatego">
    <vt:lpwstr/>
  </property>
  <property fmtid="{D5CDD505-2E9C-101B-9397-08002B2CF9AE}" pid="38" name="UNDPDocumentCategoryTaxHTFiel">
    <vt:lpwstr/>
  </property>
  <property fmtid="{D5CDD505-2E9C-101B-9397-08002B2CF9AE}" pid="39" name="UNDPSumma">
    <vt:lpwstr/>
  </property>
  <property fmtid="{D5CDD505-2E9C-101B-9397-08002B2CF9AE}" pid="40" name="UndpDocForm">
    <vt:lpwstr/>
  </property>
  <property fmtid="{D5CDD505-2E9C-101B-9397-08002B2CF9AE}" pid="41" name="UndpDocTypeMM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Nashilongo Amutenya</vt:lpwstr>
  </property>
  <property fmtid="{D5CDD505-2E9C-101B-9397-08002B2CF9AE}" pid="47" name="display_urn:schemas-microsoft-com:office:office#Auth">
    <vt:lpwstr>Nashilongo Amutenya</vt:lpwstr>
  </property>
</Properties>
</file>